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https://cienacorp-my.sharepoint.com/personal/jpost_ciena_com/Documents/Broadband FY23/superior rfp/"/>
    </mc:Choice>
  </mc:AlternateContent>
  <xr:revisionPtr revIDLastSave="21" documentId="8_{029E5FB4-0F8F-41C9-92B1-EF6E6A53BD17}" xr6:coauthVersionLast="47" xr6:coauthVersionMax="47" xr10:uidLastSave="{21D25ED7-552A-46EF-8BD9-37F352805D15}"/>
  <bookViews>
    <workbookView xWindow="-110" yWindow="-110" windowWidth="19420" windowHeight="10420" firstSheet="2" activeTab="5" xr2:uid="{00000000-000D-0000-FFFF-FFFF00000000}"/>
  </bookViews>
  <sheets>
    <sheet name="Executive Summary" sheetId="1" r:id="rId1"/>
    <sheet name="Summary" sheetId="2" r:id="rId2"/>
    <sheet name="BOM Details" sheetId="3" r:id="rId3"/>
    <sheet name="Environmental Summary" sheetId="4" r:id="rId4"/>
    <sheet name="Services Breakdown per Year" sheetId="5" r:id="rId5"/>
    <sheet name="Buyer Specific Scope" sheetId="6" r:id="rId6"/>
  </sheets>
  <definedNames>
    <definedName name="gp_3801_access_hub_1">'BOM Details'!$U$17</definedName>
    <definedName name="gp_3801_access_hub_2">'BOM Details'!$W$17</definedName>
    <definedName name="gp_3801_access_hub_3">'BOM Details'!$Y$17</definedName>
    <definedName name="gp_3801_core">'BOM Details'!$Q$17</definedName>
    <definedName name="gp_3801_cpe">'BOM Details'!$S$17</definedName>
    <definedName name="gp_3801_spares">'BOM Details'!$AA$17</definedName>
    <definedName name="gp_3801_total">'BOM Details'!$AC$17</definedName>
    <definedName name="gp_3801_vbng">'BOM Details'!$O$17</definedName>
    <definedName name="gp_3802_access_hub_1">'BOM Details'!$U$21</definedName>
    <definedName name="gp_3802_access_hub_2">'BOM Details'!$W$21</definedName>
    <definedName name="gp_3802_access_hub_3">'BOM Details'!$Y$21</definedName>
    <definedName name="gp_3802_core">'BOM Details'!$Q$21</definedName>
    <definedName name="gp_3802_cpe">'BOM Details'!$S$21</definedName>
    <definedName name="gp_3802_spares">'BOM Details'!$AA$21</definedName>
    <definedName name="gp_3802_total">'BOM Details'!$AC$21</definedName>
    <definedName name="gp_3802_vbng">'BOM Details'!$O$21</definedName>
    <definedName name="gp_5164_access_hub_1">'BOM Details'!$U$25,'BOM Details'!$U$27,'BOM Details'!$U$28,'BOM Details'!$U$29,'BOM Details'!$U$30,'BOM Details'!$U$31,'BOM Details'!$U$33,'BOM Details'!$U$35,'BOM Details'!$U$37</definedName>
    <definedName name="gp_5164_access_hub_2">'BOM Details'!$W$25,'BOM Details'!$W$27,'BOM Details'!$W$28,'BOM Details'!$W$29,'BOM Details'!$W$30,'BOM Details'!$W$31,'BOM Details'!$W$33,'BOM Details'!$W$35,'BOM Details'!$W$37</definedName>
    <definedName name="gp_5164_access_hub_3">'BOM Details'!$Y$25,'BOM Details'!$Y$27,'BOM Details'!$Y$28,'BOM Details'!$Y$29,'BOM Details'!$Y$30,'BOM Details'!$Y$31,'BOM Details'!$Y$33,'BOM Details'!$Y$35,'BOM Details'!$Y$37</definedName>
    <definedName name="gp_5164_core">'BOM Details'!$Q$25,'BOM Details'!$Q$27,'BOM Details'!$Q$28,'BOM Details'!$Q$29,'BOM Details'!$Q$30,'BOM Details'!$Q$31,'BOM Details'!$Q$33,'BOM Details'!$Q$35,'BOM Details'!$Q$37</definedName>
    <definedName name="gp_5164_cpe">'BOM Details'!$S$25,'BOM Details'!$S$27,'BOM Details'!$S$28,'BOM Details'!$S$29,'BOM Details'!$S$30,'BOM Details'!$S$31,'BOM Details'!$S$33,'BOM Details'!$S$35,'BOM Details'!$S$37</definedName>
    <definedName name="gp_5164_spares">'BOM Details'!$AA$25,'BOM Details'!$AA$27,'BOM Details'!$AA$28,'BOM Details'!$AA$29,'BOM Details'!$AA$30,'BOM Details'!$AA$31,'BOM Details'!$AA$33,'BOM Details'!$AA$35,'BOM Details'!$AA$37</definedName>
    <definedName name="gp_5164_total">'BOM Details'!$AC$25,'BOM Details'!$AC$27,'BOM Details'!$AC$28,'BOM Details'!$AC$29,'BOM Details'!$AC$30,'BOM Details'!$AC$31,'BOM Details'!$AC$33,'BOM Details'!$AC$35,'BOM Details'!$AC$37</definedName>
    <definedName name="gp_5164_vbng">'BOM Details'!$O$25,'BOM Details'!$O$27,'BOM Details'!$O$28,'BOM Details'!$O$29,'BOM Details'!$O$30,'BOM Details'!$O$31,'BOM Details'!$O$33,'BOM Details'!$O$35,'BOM Details'!$O$37</definedName>
    <definedName name="gp_8110_access_hub_1">'BOM Details'!$U$41,'BOM Details'!$U$42,'BOM Details'!$U$44,'BOM Details'!$U$46,'BOM Details'!$U$47,'BOM Details'!$U$48,'BOM Details'!$U$50,'BOM Details'!$U$52,'BOM Details'!$U$54,'BOM Details'!$U$56</definedName>
    <definedName name="gp_8110_access_hub_2">'BOM Details'!$W$41,'BOM Details'!$W$42,'BOM Details'!$W$44,'BOM Details'!$W$46,'BOM Details'!$W$47,'BOM Details'!$W$48,'BOM Details'!$W$50,'BOM Details'!$W$52,'BOM Details'!$W$54,'BOM Details'!$W$56</definedName>
    <definedName name="gp_8110_access_hub_3">'BOM Details'!$Y$41,'BOM Details'!$Y$42,'BOM Details'!$Y$44,'BOM Details'!$Y$46,'BOM Details'!$Y$47,'BOM Details'!$Y$48,'BOM Details'!$Y$50,'BOM Details'!$Y$52,'BOM Details'!$Y$54,'BOM Details'!$Y$56</definedName>
    <definedName name="gp_8110_core">'BOM Details'!$Q$41,'BOM Details'!$Q$42,'BOM Details'!$Q$44,'BOM Details'!$Q$46,'BOM Details'!$Q$47,'BOM Details'!$Q$48,'BOM Details'!$Q$50,'BOM Details'!$Q$52,'BOM Details'!$Q$54,'BOM Details'!$Q$56</definedName>
    <definedName name="gp_8110_cpe">'BOM Details'!$S$41,'BOM Details'!$S$42,'BOM Details'!$S$44,'BOM Details'!$S$46,'BOM Details'!$S$47,'BOM Details'!$S$48,'BOM Details'!$S$50,'BOM Details'!$S$52,'BOM Details'!$S$54,'BOM Details'!$S$56</definedName>
    <definedName name="gp_8110_spares">'BOM Details'!$AA$41,'BOM Details'!$AA$42,'BOM Details'!$AA$44,'BOM Details'!$AA$46,'BOM Details'!$AA$47,'BOM Details'!$AA$48,'BOM Details'!$AA$50,'BOM Details'!$AA$52,'BOM Details'!$AA$54,'BOM Details'!$AA$56</definedName>
    <definedName name="gp_8110_total">'BOM Details'!$AC$41,'BOM Details'!$AC$42,'BOM Details'!$AC$44,'BOM Details'!$AC$46,'BOM Details'!$AC$47,'BOM Details'!$AC$48,'BOM Details'!$AC$50,'BOM Details'!$AC$52,'BOM Details'!$AC$54,'BOM Details'!$AC$56</definedName>
    <definedName name="gp_8110_vbng">'BOM Details'!$O$41,'BOM Details'!$O$42,'BOM Details'!$O$44,'BOM Details'!$O$46,'BOM Details'!$O$47,'BOM Details'!$O$48,'BOM Details'!$O$50,'BOM Details'!$O$52,'BOM Details'!$O$54,'BOM Details'!$O$56</definedName>
    <definedName name="gp_access_hub_1">'BOM Details'!$U$85,'BOM Details'!$U$98</definedName>
    <definedName name="gp_access_hub_2">'BOM Details'!$W$85,'BOM Details'!$W$98</definedName>
    <definedName name="gp_access_hub_3">'BOM Details'!$Y$85,'BOM Details'!$Y$98</definedName>
    <definedName name="gp_core">'BOM Details'!$Q$85,'BOM Details'!$Q$98</definedName>
    <definedName name="gp_cpe">'BOM Details'!$S$85,'BOM Details'!$S$98</definedName>
    <definedName name="gp_design_audit___oper_svc_poc_network_totals">'BOM Details'!$M$83,'BOM Details'!$M$84</definedName>
    <definedName name="gp_hwtotals">'BOM Details'!$O$80,'BOM Details'!$Q$80,'BOM Details'!$S$80,'BOM Details'!$U$80,'BOM Details'!$W$80,'BOM Details'!$Y$80,'BOM Details'!$AA$80</definedName>
    <definedName name="gp_maintain_services_network_totals">'BOM Details'!$M$87,'BOM Details'!$M$88,'BOM Details'!$M$89,'BOM Details'!$M$90,'BOM Details'!$M$91,'BOM Details'!$M$92,'BOM Details'!$M$93,'BOM Details'!$M$94,'BOM Details'!$M$95,'BOM Details'!$M$96,'BOM Details'!$M$97</definedName>
    <definedName name="gp_mcp_access_hub_1">'BOM Details'!$U$60</definedName>
    <definedName name="gp_mcp_access_hub_2">'BOM Details'!$W$60</definedName>
    <definedName name="gp_mcp_access_hub_3">'BOM Details'!$Y$60</definedName>
    <definedName name="gp_mcp_core">'BOM Details'!$Q$60</definedName>
    <definedName name="gp_mcp_cpe">'BOM Details'!$S$60</definedName>
    <definedName name="gp_mcp_spares">'BOM Details'!$AA$60</definedName>
    <definedName name="gp_mcp_total">'BOM Details'!$AC$60</definedName>
    <definedName name="gp_mcp_vbng">'BOM Details'!$O$60</definedName>
    <definedName name="gp_pcrtotals">'BOM Details'!$AC$18,'BOM Details'!$AC$22,'BOM Details'!$AC$38,'BOM Details'!$AC$57,'BOM Details'!$AC$61,'BOM Details'!$AC$67,'BOM Details'!$AC$79</definedName>
    <definedName name="gp_sd_edge_ops_manager_access_hub_1">'BOM Details'!$U$64,'BOM Details'!$U$66</definedName>
    <definedName name="gp_sd_edge_ops_manager_access_hub_2">'BOM Details'!$W$64,'BOM Details'!$W$66</definedName>
    <definedName name="gp_sd_edge_ops_manager_access_hub_3">'BOM Details'!$Y$64,'BOM Details'!$Y$66</definedName>
    <definedName name="gp_sd_edge_ops_manager_core">'BOM Details'!$Q$64,'BOM Details'!$Q$66</definedName>
    <definedName name="gp_sd_edge_ops_manager_cpe">'BOM Details'!$S$64,'BOM Details'!$S$66</definedName>
    <definedName name="gp_sd_edge_ops_manager_spares">'BOM Details'!$AA$64,'BOM Details'!$AA$66</definedName>
    <definedName name="gp_sd_edge_ops_manager_total">'BOM Details'!$AC$64,'BOM Details'!$AC$66</definedName>
    <definedName name="gp_sd_edge_ops_manager_vbng">'BOM Details'!$O$64,'BOM Details'!$O$66</definedName>
    <definedName name="gp_sd_edge_vbng_access_hub_1">'BOM Details'!$U$70,'BOM Details'!$U$72,'BOM Details'!$U$74,'BOM Details'!$U$76,'BOM Details'!$U$78</definedName>
    <definedName name="gp_sd_edge_vbng_access_hub_2">'BOM Details'!$W$70,'BOM Details'!$W$72,'BOM Details'!$W$74,'BOM Details'!$W$76,'BOM Details'!$W$78</definedName>
    <definedName name="gp_sd_edge_vbng_access_hub_3">'BOM Details'!$Y$70,'BOM Details'!$Y$72,'BOM Details'!$Y$74,'BOM Details'!$Y$76,'BOM Details'!$Y$78</definedName>
    <definedName name="gp_sd_edge_vbng_core">'BOM Details'!$Q$70,'BOM Details'!$Q$72,'BOM Details'!$Q$74,'BOM Details'!$Q$76,'BOM Details'!$Q$78</definedName>
    <definedName name="gp_sd_edge_vbng_cpe">'BOM Details'!$S$70,'BOM Details'!$S$72,'BOM Details'!$S$74,'BOM Details'!$S$76,'BOM Details'!$S$78</definedName>
    <definedName name="gp_sd_edge_vbng_spares">'BOM Details'!$AA$70,'BOM Details'!$AA$72,'BOM Details'!$AA$74,'BOM Details'!$AA$76,'BOM Details'!$AA$78</definedName>
    <definedName name="gp_sd_edge_vbng_total">'BOM Details'!$AC$70,'BOM Details'!$AC$72,'BOM Details'!$AC$74,'BOM Details'!$AC$76,'BOM Details'!$AC$78</definedName>
    <definedName name="gp_sd_edge_vbng_vbng">'BOM Details'!$O$70,'BOM Details'!$O$72,'BOM Details'!$O$74,'BOM Details'!$O$76,'BOM Details'!$O$78</definedName>
    <definedName name="gp_site_access_hub_1_total">'BOM Details'!$U$18,'BOM Details'!$U$22,'BOM Details'!$U$38,'BOM Details'!$U$57,'BOM Details'!$U$61,'BOM Details'!$U$67,'BOM Details'!$U$79</definedName>
    <definedName name="gp_site_access_hub_2_total">'BOM Details'!$W$18,'BOM Details'!$W$22,'BOM Details'!$W$38,'BOM Details'!$W$57,'BOM Details'!$W$61,'BOM Details'!$W$67,'BOM Details'!$W$79</definedName>
    <definedName name="gp_site_access_hub_3_total">'BOM Details'!$Y$18,'BOM Details'!$Y$22,'BOM Details'!$Y$38,'BOM Details'!$Y$57,'BOM Details'!$Y$61,'BOM Details'!$Y$67,'BOM Details'!$Y$79</definedName>
    <definedName name="gp_site_core_total">'BOM Details'!$Q$18,'BOM Details'!$Q$22,'BOM Details'!$Q$38,'BOM Details'!$Q$57,'BOM Details'!$Q$61,'BOM Details'!$Q$67,'BOM Details'!$Q$79</definedName>
    <definedName name="gp_site_cpe_total">'BOM Details'!$S$18,'BOM Details'!$S$22,'BOM Details'!$S$38,'BOM Details'!$S$57,'BOM Details'!$S$61,'BOM Details'!$S$67,'BOM Details'!$S$79</definedName>
    <definedName name="gp_site_spares_total">'BOM Details'!$AA$18,'BOM Details'!$AA$22,'BOM Details'!$AA$38,'BOM Details'!$AA$57,'BOM Details'!$AA$61,'BOM Details'!$AA$67,'BOM Details'!$AA$79</definedName>
    <definedName name="gp_site_vbng_total">'BOM Details'!$O$18,'BOM Details'!$O$22,'BOM Details'!$O$38,'BOM Details'!$O$57,'BOM Details'!$O$61,'BOM Details'!$O$67,'BOM Details'!$O$79</definedName>
    <definedName name="gp_spares">'BOM Details'!$AA$85,'BOM Details'!$AA$98</definedName>
    <definedName name="gp_subtotal_network">'BOM Details'!$M$85,'BOM Details'!$M$98</definedName>
    <definedName name="gp_sv_design_audit___oper_svc_poc_access_hub_1">'BOM Details'!$U$83,'BOM Details'!$U$84</definedName>
    <definedName name="gp_sv_design_audit___oper_svc_poc_access_hub_2">'BOM Details'!$W$83,'BOM Details'!$W$84</definedName>
    <definedName name="gp_sv_design_audit___oper_svc_poc_access_hub_3">'BOM Details'!$Y$83,'BOM Details'!$Y$84</definedName>
    <definedName name="gp_sv_design_audit___oper_svc_poc_core">'BOM Details'!$Q$83,'BOM Details'!$Q$84</definedName>
    <definedName name="gp_sv_design_audit___oper_svc_poc_cpe">'BOM Details'!$S$83,'BOM Details'!$S$84</definedName>
    <definedName name="gp_sv_design_audit___oper_svc_poc_spares">'BOM Details'!$AA$83,'BOM Details'!$AA$84</definedName>
    <definedName name="gp_sv_design_audit___oper_svc_poc_total">'BOM Details'!$AC$83,'BOM Details'!$AC$84</definedName>
    <definedName name="gp_sv_design_audit___oper_svc_poc_vbng">'BOM Details'!$O$83,'BOM Details'!$O$84</definedName>
    <definedName name="gp_sv_maintain_services_access_hub_1">'BOM Details'!$U$87,'BOM Details'!$U$88,'BOM Details'!$U$89,'BOM Details'!$U$90,'BOM Details'!$U$91,'BOM Details'!$U$92,'BOM Details'!$U$93,'BOM Details'!$U$94,'BOM Details'!$U$95,'BOM Details'!$U$96,'BOM Details'!$U$97</definedName>
    <definedName name="gp_sv_maintain_services_access_hub_2">'BOM Details'!$W$87,'BOM Details'!$W$88,'BOM Details'!$W$89,'BOM Details'!$W$90,'BOM Details'!$W$91,'BOM Details'!$W$92,'BOM Details'!$W$93,'BOM Details'!$W$94,'BOM Details'!$W$95,'BOM Details'!$W$96,'BOM Details'!$W$97</definedName>
    <definedName name="gp_sv_maintain_services_access_hub_3">'BOM Details'!$Y$87,'BOM Details'!$Y$88,'BOM Details'!$Y$89,'BOM Details'!$Y$90,'BOM Details'!$Y$91,'BOM Details'!$Y$92,'BOM Details'!$Y$93,'BOM Details'!$Y$94,'BOM Details'!$Y$95,'BOM Details'!$Y$96,'BOM Details'!$Y$97</definedName>
    <definedName name="gp_sv_maintain_services_core">'BOM Details'!$Q$87,'BOM Details'!$Q$88,'BOM Details'!$Q$89,'BOM Details'!$Q$90,'BOM Details'!$Q$91,'BOM Details'!$Q$92,'BOM Details'!$Q$93,'BOM Details'!$Q$94,'BOM Details'!$Q$95,'BOM Details'!$Q$96,'BOM Details'!$Q$97</definedName>
    <definedName name="gp_sv_maintain_services_cpe">'BOM Details'!$S$87,'BOM Details'!$S$88,'BOM Details'!$S$89,'BOM Details'!$S$90,'BOM Details'!$S$91,'BOM Details'!$S$92,'BOM Details'!$S$93,'BOM Details'!$S$94,'BOM Details'!$S$95,'BOM Details'!$S$96,'BOM Details'!$S$97</definedName>
    <definedName name="gp_sv_maintain_services_spares">'BOM Details'!$AA$87,'BOM Details'!$AA$88,'BOM Details'!$AA$89,'BOM Details'!$AA$90,'BOM Details'!$AA$91,'BOM Details'!$AA$92,'BOM Details'!$AA$93,'BOM Details'!$AA$94,'BOM Details'!$AA$95,'BOM Details'!$AA$96,'BOM Details'!$AA$97</definedName>
    <definedName name="gp_sv_maintain_services_total">'BOM Details'!$AC$87,'BOM Details'!$AC$88,'BOM Details'!$AC$89,'BOM Details'!$AC$90,'BOM Details'!$AC$91,'BOM Details'!$AC$92,'BOM Details'!$AC$93,'BOM Details'!$AC$94,'BOM Details'!$AC$95,'BOM Details'!$AC$96,'BOM Details'!$AC$97</definedName>
    <definedName name="gp_sv_maintain_services_vbng">'BOM Details'!$O$87,'BOM Details'!$O$88,'BOM Details'!$O$89,'BOM Details'!$O$90,'BOM Details'!$O$91,'BOM Details'!$O$92,'BOM Details'!$O$93,'BOM Details'!$O$94,'BOM Details'!$O$95,'BOM Details'!$O$96,'BOM Details'!$O$97</definedName>
    <definedName name="gp_svtotals">'BOM Details'!$M$99,'BOM Details'!$O$99,'BOM Details'!$Q$99,'BOM Details'!$S$99,'BOM Details'!$U$99,'BOM Details'!$W$99,'BOM Details'!$Y$99,'BOM Details'!$AA$99</definedName>
    <definedName name="gp_vbng">'BOM Details'!$O$85,'BOM Details'!$O$98</definedName>
    <definedName name="n_3801_access_hub_1">'BOM Details'!$U$18</definedName>
    <definedName name="n_3801_access_hub_2">'BOM Details'!$W$18</definedName>
    <definedName name="n_3801_access_hub_3">'BOM Details'!$Y$18</definedName>
    <definedName name="n_3801_core">'BOM Details'!$Q$18</definedName>
    <definedName name="n_3801_cpe">'BOM Details'!$S$18</definedName>
    <definedName name="n_3801_spares">'BOM Details'!$AA$18</definedName>
    <definedName name="n_3801_vbng">'BOM Details'!$O$18</definedName>
    <definedName name="n_3802_access_hub_1">'BOM Details'!$U$22</definedName>
    <definedName name="n_3802_access_hub_2">'BOM Details'!$W$22</definedName>
    <definedName name="n_3802_access_hub_3">'BOM Details'!$Y$22</definedName>
    <definedName name="n_3802_core">'BOM Details'!$Q$22</definedName>
    <definedName name="n_3802_cpe">'BOM Details'!$S$22</definedName>
    <definedName name="n_3802_spares">'BOM Details'!$AA$22</definedName>
    <definedName name="n_3802_vbng">'BOM Details'!$O$22</definedName>
    <definedName name="n_5164_access_hub_1">'BOM Details'!$U$38</definedName>
    <definedName name="n_5164_access_hub_2">'BOM Details'!$W$38</definedName>
    <definedName name="n_5164_access_hub_3">'BOM Details'!$Y$38</definedName>
    <definedName name="n_5164_core">'BOM Details'!$Q$38</definedName>
    <definedName name="n_5164_cpe">'BOM Details'!$S$38</definedName>
    <definedName name="n_5164_spares">'BOM Details'!$AA$38</definedName>
    <definedName name="n_5164_vbng">'BOM Details'!$O$38</definedName>
    <definedName name="n_8110_access_hub_1">'BOM Details'!$U$57</definedName>
    <definedName name="n_8110_access_hub_2">'BOM Details'!$W$57</definedName>
    <definedName name="n_8110_access_hub_3">'BOM Details'!$Y$57</definedName>
    <definedName name="n_8110_core">'BOM Details'!$Q$57</definedName>
    <definedName name="n_8110_cpe">'BOM Details'!$S$57</definedName>
    <definedName name="n_8110_spares">'BOM Details'!$AA$57</definedName>
    <definedName name="n_8110_vbng">'BOM Details'!$O$57</definedName>
    <definedName name="n_design_audit___oper_svc_poc_subtotal_network">'BOM Details'!$M$85</definedName>
    <definedName name="n_hw_site_access_hub_1_total">'BOM Details'!$U$80</definedName>
    <definedName name="n_hw_site_access_hub_2_total">'BOM Details'!$W$80</definedName>
    <definedName name="n_hw_site_access_hub_3_total">'BOM Details'!$Y$80</definedName>
    <definedName name="n_hw_site_core_total">'BOM Details'!$Q$80</definedName>
    <definedName name="n_hw_site_cpe_total">'BOM Details'!$S$80</definedName>
    <definedName name="n_hw_site_spares_total">'BOM Details'!$AA$80</definedName>
    <definedName name="n_hw_site_vbng_total">'BOM Details'!$O$80</definedName>
    <definedName name="n_maintain_services_subtotal_network">'BOM Details'!$M$98</definedName>
    <definedName name="n_mcp_access_hub_1">'BOM Details'!$U$61</definedName>
    <definedName name="n_mcp_access_hub_2">'BOM Details'!$W$61</definedName>
    <definedName name="n_mcp_access_hub_3">'BOM Details'!$Y$61</definedName>
    <definedName name="n_mcp_core">'BOM Details'!$Q$61</definedName>
    <definedName name="n_mcp_cpe">'BOM Details'!$S$61</definedName>
    <definedName name="n_mcp_spares">'BOM Details'!$AA$61</definedName>
    <definedName name="n_mcp_vbng">'BOM Details'!$O$61</definedName>
    <definedName name="n_sd_edge_ops_manager_access_hub_1">'BOM Details'!$U$67</definedName>
    <definedName name="n_sd_edge_ops_manager_access_hub_2">'BOM Details'!$W$67</definedName>
    <definedName name="n_sd_edge_ops_manager_access_hub_3">'BOM Details'!$Y$67</definedName>
    <definedName name="n_sd_edge_ops_manager_core">'BOM Details'!$Q$67</definedName>
    <definedName name="n_sd_edge_ops_manager_cpe">'BOM Details'!$S$67</definedName>
    <definedName name="n_sd_edge_ops_manager_spares">'BOM Details'!$AA$67</definedName>
    <definedName name="n_sd_edge_ops_manager_vbng">'BOM Details'!$O$67</definedName>
    <definedName name="n_sd_edge_vbng_access_hub_1">'BOM Details'!$U$79</definedName>
    <definedName name="n_sd_edge_vbng_access_hub_2">'BOM Details'!$W$79</definedName>
    <definedName name="n_sd_edge_vbng_access_hub_3">'BOM Details'!$Y$79</definedName>
    <definedName name="n_sd_edge_vbng_core">'BOM Details'!$Q$79</definedName>
    <definedName name="n_sd_edge_vbng_cpe">'BOM Details'!$S$79</definedName>
    <definedName name="n_sd_edge_vbng_spares">'BOM Details'!$AA$79</definedName>
    <definedName name="n_sd_edge_vbng_vbng">'BOM Details'!$O$79</definedName>
    <definedName name="n_summary_design_audit___oper_svc_poc_network">Summary!$D$28</definedName>
    <definedName name="n_summary_design_audit___oper_svc_poc_network_wed">Summary!$E$28</definedName>
    <definedName name="n_summary_maintain_services_network">Summary!$D$29</definedName>
    <definedName name="n_summary_maintain_services_network_wed">Summary!$E$29</definedName>
    <definedName name="n_summary_products_access_hub_1">Summary!$D$22</definedName>
    <definedName name="n_summary_products_access_hub_1_wed">Summary!$E$22</definedName>
    <definedName name="n_summary_products_access_hub_2">Summary!$D$23</definedName>
    <definedName name="n_summary_products_access_hub_2_wed">Summary!$E$23</definedName>
    <definedName name="n_summary_products_access_hub_3">Summary!$D$24</definedName>
    <definedName name="n_summary_products_access_hub_3_wed">Summary!$E$24</definedName>
    <definedName name="n_summary_products_core">Summary!$D$20</definedName>
    <definedName name="n_summary_products_core_wed">Summary!$E$20</definedName>
    <definedName name="n_summary_products_cpe">Summary!$D$21</definedName>
    <definedName name="n_summary_products_cpe_wed">Summary!$E$21</definedName>
    <definedName name="n_summary_products_spares">Summary!$D$25</definedName>
    <definedName name="n_summary_products_spares_wed">Summary!$E$25</definedName>
    <definedName name="n_summary_products_vbng">Summary!$D$19</definedName>
    <definedName name="n_summary_products_vbng_wed">Summary!$E$19</definedName>
    <definedName name="n_sv_design_audit___oper_svc_poc_access_hub_1">'BOM Details'!$U$85</definedName>
    <definedName name="n_sv_design_audit___oper_svc_poc_access_hub_2">'BOM Details'!$W$85</definedName>
    <definedName name="n_sv_design_audit___oper_svc_poc_access_hub_3">'BOM Details'!$Y$85</definedName>
    <definedName name="n_sv_design_audit___oper_svc_poc_core">'BOM Details'!$Q$85</definedName>
    <definedName name="n_sv_design_audit___oper_svc_poc_cpe">'BOM Details'!$S$85</definedName>
    <definedName name="n_sv_design_audit___oper_svc_poc_spares">'BOM Details'!$AA$85</definedName>
    <definedName name="n_sv_design_audit___oper_svc_poc_vbng">'BOM Details'!$O$85</definedName>
    <definedName name="n_sv_maintain_services_access_hub_1">'BOM Details'!$U$98</definedName>
    <definedName name="n_sv_maintain_services_access_hub_2">'BOM Details'!$W$98</definedName>
    <definedName name="n_sv_maintain_services_access_hub_3">'BOM Details'!$Y$98</definedName>
    <definedName name="n_sv_maintain_services_core">'BOM Details'!$Q$98</definedName>
    <definedName name="n_sv_maintain_services_cpe">'BOM Details'!$S$98</definedName>
    <definedName name="n_sv_maintain_services_spares">'BOM Details'!$AA$98</definedName>
    <definedName name="n_sv_maintain_services_vbng">'BOM Details'!$O$98</definedName>
    <definedName name="n_sv_site_access_hub_1_total">'BOM Details'!$U$99</definedName>
    <definedName name="n_sv_site_access_hub_2_total">'BOM Details'!$W$99</definedName>
    <definedName name="n_sv_site_access_hub_3_total">'BOM Details'!$Y$99</definedName>
    <definedName name="n_sv_site_core_total">'BOM Details'!$Q$99</definedName>
    <definedName name="n_sv_site_cpe_total">'BOM Details'!$S$99</definedName>
    <definedName name="n_sv_site_spares_total">'BOM Details'!$AA$99</definedName>
    <definedName name="n_sv_site_vbng_total">'BOM Details'!$O$99</definedName>
    <definedName name="n_total_design_audit___oper_svc_poc">'BOM Details'!$AC$85</definedName>
    <definedName name="n_total_maintain_services">'BOM Details'!$AC$98</definedName>
    <definedName name="_xlnm.Print_Area" localSheetId="2">'BOM Details'!$A$1:$AC$110</definedName>
    <definedName name="_xlnm.Print_Area" localSheetId="5">'Buyer Specific Scope'!$A$1:$T$90</definedName>
    <definedName name="_xlnm.Print_Area" localSheetId="3">'Environmental Summary'!$A$1:$I$39</definedName>
    <definedName name="_xlnm.Print_Area" localSheetId="4">'Services Breakdown per Year'!$A$1:$H$29</definedName>
    <definedName name="thiscell">'BOM Details'!$P$2</definedName>
    <definedName name="thiscellx">'BOM Details'!$P$3</definedName>
    <definedName name="total">'BOM Details'!$AC$102</definedName>
    <definedName name="total_network">'BOM Details'!$M$99</definedName>
    <definedName name="total_services_breakdown">'Services Breakdown per Year'!$H$28</definedName>
    <definedName name="totalhw">'BOM Details'!$AC$80</definedName>
    <definedName name="totalsv">'BOM Details'!$AC$99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8" i="5" l="1"/>
  <c r="G28" i="5"/>
  <c r="B10" i="5"/>
  <c r="A109" i="3"/>
  <c r="AA105" i="3"/>
  <c r="Y105" i="3"/>
  <c r="W105" i="3"/>
  <c r="U105" i="3"/>
  <c r="S105" i="3"/>
  <c r="Q105" i="3"/>
  <c r="O105" i="3"/>
  <c r="M105" i="3"/>
  <c r="AA104" i="3"/>
  <c r="Y104" i="3"/>
  <c r="W104" i="3"/>
  <c r="U104" i="3"/>
  <c r="S104" i="3"/>
  <c r="Q104" i="3"/>
  <c r="O104" i="3"/>
  <c r="M104" i="3"/>
  <c r="AB97" i="3"/>
  <c r="AA97" i="3"/>
  <c r="Y97" i="3"/>
  <c r="W97" i="3"/>
  <c r="U97" i="3"/>
  <c r="S97" i="3"/>
  <c r="Q97" i="3"/>
  <c r="O97" i="3"/>
  <c r="M97" i="3"/>
  <c r="AC97" i="3" s="1"/>
  <c r="AB96" i="3"/>
  <c r="AA96" i="3"/>
  <c r="Y96" i="3"/>
  <c r="W96" i="3"/>
  <c r="U96" i="3"/>
  <c r="S96" i="3"/>
  <c r="Q96" i="3"/>
  <c r="O96" i="3"/>
  <c r="M96" i="3"/>
  <c r="AC96" i="3" s="1"/>
  <c r="AC95" i="3"/>
  <c r="AB95" i="3"/>
  <c r="AA95" i="3"/>
  <c r="Y95" i="3"/>
  <c r="W95" i="3"/>
  <c r="U95" i="3"/>
  <c r="S95" i="3"/>
  <c r="Q95" i="3"/>
  <c r="O95" i="3"/>
  <c r="M95" i="3"/>
  <c r="AB94" i="3"/>
  <c r="AA94" i="3"/>
  <c r="Y94" i="3"/>
  <c r="W94" i="3"/>
  <c r="U94" i="3"/>
  <c r="S94" i="3"/>
  <c r="Q94" i="3"/>
  <c r="O94" i="3"/>
  <c r="AC94" i="3" s="1"/>
  <c r="M94" i="3"/>
  <c r="AB93" i="3"/>
  <c r="AA93" i="3"/>
  <c r="Y93" i="3"/>
  <c r="W93" i="3"/>
  <c r="U93" i="3"/>
  <c r="S93" i="3"/>
  <c r="Q93" i="3"/>
  <c r="O93" i="3"/>
  <c r="M93" i="3"/>
  <c r="AC93" i="3" s="1"/>
  <c r="AB92" i="3"/>
  <c r="AA92" i="3"/>
  <c r="Y92" i="3"/>
  <c r="W92" i="3"/>
  <c r="U92" i="3"/>
  <c r="S92" i="3"/>
  <c r="Q92" i="3"/>
  <c r="O92" i="3"/>
  <c r="M92" i="3"/>
  <c r="AC92" i="3" s="1"/>
  <c r="AB91" i="3"/>
  <c r="AA91" i="3"/>
  <c r="Y91" i="3"/>
  <c r="W91" i="3"/>
  <c r="U91" i="3"/>
  <c r="S91" i="3"/>
  <c r="Q91" i="3"/>
  <c r="O91" i="3"/>
  <c r="AC91" i="3" s="1"/>
  <c r="M91" i="3"/>
  <c r="AB90" i="3"/>
  <c r="AA90" i="3"/>
  <c r="Y90" i="3"/>
  <c r="W90" i="3"/>
  <c r="U90" i="3"/>
  <c r="S90" i="3"/>
  <c r="S98" i="3" s="1"/>
  <c r="Q90" i="3"/>
  <c r="O90" i="3"/>
  <c r="AC90" i="3" s="1"/>
  <c r="M90" i="3"/>
  <c r="AB89" i="3"/>
  <c r="AA89" i="3"/>
  <c r="Y89" i="3"/>
  <c r="W89" i="3"/>
  <c r="W98" i="3" s="1"/>
  <c r="U89" i="3"/>
  <c r="U98" i="3" s="1"/>
  <c r="S89" i="3"/>
  <c r="Q89" i="3"/>
  <c r="O89" i="3"/>
  <c r="M89" i="3"/>
  <c r="AC89" i="3" s="1"/>
  <c r="AB88" i="3"/>
  <c r="AA88" i="3"/>
  <c r="Y88" i="3"/>
  <c r="Y98" i="3" s="1"/>
  <c r="W88" i="3"/>
  <c r="U88" i="3"/>
  <c r="S88" i="3"/>
  <c r="Q88" i="3"/>
  <c r="O88" i="3"/>
  <c r="M88" i="3"/>
  <c r="AC88" i="3" s="1"/>
  <c r="AB87" i="3"/>
  <c r="AA87" i="3"/>
  <c r="AA98" i="3" s="1"/>
  <c r="Y87" i="3"/>
  <c r="W87" i="3"/>
  <c r="U87" i="3"/>
  <c r="S87" i="3"/>
  <c r="Q87" i="3"/>
  <c r="Q98" i="3" s="1"/>
  <c r="Q99" i="3" s="1"/>
  <c r="O87" i="3"/>
  <c r="O98" i="3" s="1"/>
  <c r="M87" i="3"/>
  <c r="M98" i="3" s="1"/>
  <c r="Q85" i="3"/>
  <c r="O85" i="3"/>
  <c r="O99" i="3" s="1"/>
  <c r="AB84" i="3"/>
  <c r="AA84" i="3"/>
  <c r="Y84" i="3"/>
  <c r="W84" i="3"/>
  <c r="W85" i="3" s="1"/>
  <c r="W99" i="3" s="1"/>
  <c r="U84" i="3"/>
  <c r="U85" i="3" s="1"/>
  <c r="U99" i="3" s="1"/>
  <c r="S84" i="3"/>
  <c r="S85" i="3" s="1"/>
  <c r="S99" i="3" s="1"/>
  <c r="Q84" i="3"/>
  <c r="O84" i="3"/>
  <c r="AC84" i="3" s="1"/>
  <c r="M84" i="3"/>
  <c r="I84" i="3"/>
  <c r="AB83" i="3"/>
  <c r="AA83" i="3"/>
  <c r="AA85" i="3" s="1"/>
  <c r="AA99" i="3" s="1"/>
  <c r="Y83" i="3"/>
  <c r="Y85" i="3" s="1"/>
  <c r="Y99" i="3" s="1"/>
  <c r="W83" i="3"/>
  <c r="U83" i="3"/>
  <c r="S83" i="3"/>
  <c r="Q83" i="3"/>
  <c r="O83" i="3"/>
  <c r="M83" i="3"/>
  <c r="AC83" i="3" s="1"/>
  <c r="I83" i="3"/>
  <c r="O79" i="3"/>
  <c r="AB78" i="3"/>
  <c r="AA78" i="3"/>
  <c r="Y78" i="3"/>
  <c r="W78" i="3"/>
  <c r="U78" i="3"/>
  <c r="S78" i="3"/>
  <c r="Q78" i="3"/>
  <c r="O78" i="3"/>
  <c r="AC78" i="3" s="1"/>
  <c r="I78" i="3"/>
  <c r="AB76" i="3"/>
  <c r="AA76" i="3"/>
  <c r="Y76" i="3"/>
  <c r="W76" i="3"/>
  <c r="U76" i="3"/>
  <c r="U79" i="3" s="1"/>
  <c r="S76" i="3"/>
  <c r="Q76" i="3"/>
  <c r="O76" i="3"/>
  <c r="AC76" i="3" s="1"/>
  <c r="I76" i="3"/>
  <c r="AB74" i="3"/>
  <c r="AA74" i="3"/>
  <c r="Y74" i="3"/>
  <c r="W74" i="3"/>
  <c r="U74" i="3"/>
  <c r="S74" i="3"/>
  <c r="Q74" i="3"/>
  <c r="O74" i="3"/>
  <c r="AC74" i="3" s="1"/>
  <c r="I74" i="3"/>
  <c r="AB72" i="3"/>
  <c r="AA72" i="3"/>
  <c r="Y72" i="3"/>
  <c r="Y79" i="3" s="1"/>
  <c r="W72" i="3"/>
  <c r="U72" i="3"/>
  <c r="S72" i="3"/>
  <c r="Q72" i="3"/>
  <c r="O72" i="3"/>
  <c r="AC72" i="3" s="1"/>
  <c r="I72" i="3"/>
  <c r="AB70" i="3"/>
  <c r="AA70" i="3"/>
  <c r="AA79" i="3" s="1"/>
  <c r="Y70" i="3"/>
  <c r="W70" i="3"/>
  <c r="W79" i="3" s="1"/>
  <c r="U70" i="3"/>
  <c r="S70" i="3"/>
  <c r="S79" i="3" s="1"/>
  <c r="Q70" i="3"/>
  <c r="Q79" i="3" s="1"/>
  <c r="O70" i="3"/>
  <c r="AC70" i="3" s="1"/>
  <c r="I70" i="3"/>
  <c r="S67" i="3"/>
  <c r="Q67" i="3"/>
  <c r="AB66" i="3"/>
  <c r="AA66" i="3"/>
  <c r="Y66" i="3"/>
  <c r="W66" i="3"/>
  <c r="U66" i="3"/>
  <c r="U67" i="3" s="1"/>
  <c r="S66" i="3"/>
  <c r="Q66" i="3"/>
  <c r="O66" i="3"/>
  <c r="AC66" i="3" s="1"/>
  <c r="I66" i="3"/>
  <c r="AB64" i="3"/>
  <c r="AA64" i="3"/>
  <c r="AA67" i="3" s="1"/>
  <c r="Y64" i="3"/>
  <c r="Y67" i="3" s="1"/>
  <c r="W64" i="3"/>
  <c r="W67" i="3" s="1"/>
  <c r="U64" i="3"/>
  <c r="S64" i="3"/>
  <c r="Q64" i="3"/>
  <c r="O64" i="3"/>
  <c r="O67" i="3" s="1"/>
  <c r="I64" i="3"/>
  <c r="AA61" i="3"/>
  <c r="Y61" i="3"/>
  <c r="W61" i="3"/>
  <c r="U61" i="3"/>
  <c r="Q61" i="3"/>
  <c r="AB60" i="3"/>
  <c r="AA60" i="3"/>
  <c r="Y60" i="3"/>
  <c r="W60" i="3"/>
  <c r="U60" i="3"/>
  <c r="S60" i="3"/>
  <c r="S61" i="3" s="1"/>
  <c r="Q60" i="3"/>
  <c r="O60" i="3"/>
  <c r="O61" i="3" s="1"/>
  <c r="AC61" i="3" s="1"/>
  <c r="AB56" i="3"/>
  <c r="AA56" i="3"/>
  <c r="Y56" i="3"/>
  <c r="W56" i="3"/>
  <c r="U56" i="3"/>
  <c r="S56" i="3"/>
  <c r="Q56" i="3"/>
  <c r="O56" i="3"/>
  <c r="AC56" i="3" s="1"/>
  <c r="I56" i="3"/>
  <c r="AB54" i="3"/>
  <c r="AA54" i="3"/>
  <c r="Y54" i="3"/>
  <c r="W54" i="3"/>
  <c r="U54" i="3"/>
  <c r="S54" i="3"/>
  <c r="Q54" i="3"/>
  <c r="O54" i="3"/>
  <c r="AC54" i="3" s="1"/>
  <c r="I54" i="3"/>
  <c r="AB52" i="3"/>
  <c r="AA52" i="3"/>
  <c r="Y52" i="3"/>
  <c r="W52" i="3"/>
  <c r="U52" i="3"/>
  <c r="S52" i="3"/>
  <c r="Q52" i="3"/>
  <c r="O52" i="3"/>
  <c r="AC52" i="3" s="1"/>
  <c r="I52" i="3"/>
  <c r="AB50" i="3"/>
  <c r="AA50" i="3"/>
  <c r="Y50" i="3"/>
  <c r="W50" i="3"/>
  <c r="U50" i="3"/>
  <c r="S50" i="3"/>
  <c r="Q50" i="3"/>
  <c r="O50" i="3"/>
  <c r="AC50" i="3" s="1"/>
  <c r="I50" i="3"/>
  <c r="AC48" i="3"/>
  <c r="AB48" i="3"/>
  <c r="AA48" i="3"/>
  <c r="Y48" i="3"/>
  <c r="W48" i="3"/>
  <c r="U48" i="3"/>
  <c r="S48" i="3"/>
  <c r="Q48" i="3"/>
  <c r="O48" i="3"/>
  <c r="I48" i="3"/>
  <c r="AB47" i="3"/>
  <c r="AA47" i="3"/>
  <c r="Y47" i="3"/>
  <c r="W47" i="3"/>
  <c r="U47" i="3"/>
  <c r="S47" i="3"/>
  <c r="Q47" i="3"/>
  <c r="O47" i="3"/>
  <c r="AC47" i="3" s="1"/>
  <c r="I47" i="3"/>
  <c r="AB46" i="3"/>
  <c r="AA46" i="3"/>
  <c r="Y46" i="3"/>
  <c r="W46" i="3"/>
  <c r="U46" i="3"/>
  <c r="S46" i="3"/>
  <c r="Q46" i="3"/>
  <c r="O46" i="3"/>
  <c r="AC46" i="3" s="1"/>
  <c r="I46" i="3"/>
  <c r="AB44" i="3"/>
  <c r="AA44" i="3"/>
  <c r="AA57" i="3" s="1"/>
  <c r="Y44" i="3"/>
  <c r="W44" i="3"/>
  <c r="U44" i="3"/>
  <c r="S44" i="3"/>
  <c r="Q44" i="3"/>
  <c r="O44" i="3"/>
  <c r="AC44" i="3" s="1"/>
  <c r="I44" i="3"/>
  <c r="AB42" i="3"/>
  <c r="AA42" i="3"/>
  <c r="Y42" i="3"/>
  <c r="W42" i="3"/>
  <c r="U42" i="3"/>
  <c r="S42" i="3"/>
  <c r="Q42" i="3"/>
  <c r="O42" i="3"/>
  <c r="O57" i="3" s="1"/>
  <c r="AC57" i="3" s="1"/>
  <c r="I42" i="3"/>
  <c r="AB41" i="3"/>
  <c r="AA41" i="3"/>
  <c r="Y41" i="3"/>
  <c r="Y57" i="3" s="1"/>
  <c r="W41" i="3"/>
  <c r="W57" i="3" s="1"/>
  <c r="U41" i="3"/>
  <c r="U57" i="3" s="1"/>
  <c r="S41" i="3"/>
  <c r="S57" i="3" s="1"/>
  <c r="Q41" i="3"/>
  <c r="Q57" i="3" s="1"/>
  <c r="O41" i="3"/>
  <c r="AC41" i="3" s="1"/>
  <c r="I41" i="3"/>
  <c r="U38" i="3"/>
  <c r="AB37" i="3"/>
  <c r="AA37" i="3"/>
  <c r="Y37" i="3"/>
  <c r="W37" i="3"/>
  <c r="U37" i="3"/>
  <c r="S37" i="3"/>
  <c r="Q37" i="3"/>
  <c r="O37" i="3"/>
  <c r="AC37" i="3" s="1"/>
  <c r="I37" i="3"/>
  <c r="AB35" i="3"/>
  <c r="AA35" i="3"/>
  <c r="Y35" i="3"/>
  <c r="W35" i="3"/>
  <c r="U35" i="3"/>
  <c r="S35" i="3"/>
  <c r="Q35" i="3"/>
  <c r="O35" i="3"/>
  <c r="AC35" i="3" s="1"/>
  <c r="I35" i="3"/>
  <c r="AC33" i="3"/>
  <c r="AB33" i="3"/>
  <c r="AA33" i="3"/>
  <c r="Y33" i="3"/>
  <c r="W33" i="3"/>
  <c r="U33" i="3"/>
  <c r="S33" i="3"/>
  <c r="Q33" i="3"/>
  <c r="O33" i="3"/>
  <c r="I33" i="3"/>
  <c r="AB31" i="3"/>
  <c r="AA31" i="3"/>
  <c r="Y31" i="3"/>
  <c r="W31" i="3"/>
  <c r="U31" i="3"/>
  <c r="S31" i="3"/>
  <c r="Q31" i="3"/>
  <c r="O31" i="3"/>
  <c r="AC31" i="3" s="1"/>
  <c r="I31" i="3"/>
  <c r="AB30" i="3"/>
  <c r="AA30" i="3"/>
  <c r="Y30" i="3"/>
  <c r="W30" i="3"/>
  <c r="U30" i="3"/>
  <c r="S30" i="3"/>
  <c r="Q30" i="3"/>
  <c r="O30" i="3"/>
  <c r="AC30" i="3" s="1"/>
  <c r="I30" i="3"/>
  <c r="AB29" i="3"/>
  <c r="AA29" i="3"/>
  <c r="AA38" i="3" s="1"/>
  <c r="Y29" i="3"/>
  <c r="W29" i="3"/>
  <c r="U29" i="3"/>
  <c r="S29" i="3"/>
  <c r="Q29" i="3"/>
  <c r="O29" i="3"/>
  <c r="AC29" i="3" s="1"/>
  <c r="I29" i="3"/>
  <c r="AC28" i="3"/>
  <c r="AB28" i="3"/>
  <c r="AA28" i="3"/>
  <c r="Y28" i="3"/>
  <c r="W28" i="3"/>
  <c r="U28" i="3"/>
  <c r="S28" i="3"/>
  <c r="Q28" i="3"/>
  <c r="O28" i="3"/>
  <c r="I28" i="3"/>
  <c r="AB27" i="3"/>
  <c r="AA27" i="3"/>
  <c r="Y27" i="3"/>
  <c r="W27" i="3"/>
  <c r="U27" i="3"/>
  <c r="S27" i="3"/>
  <c r="S38" i="3" s="1"/>
  <c r="Q27" i="3"/>
  <c r="O27" i="3"/>
  <c r="AC27" i="3" s="1"/>
  <c r="I27" i="3"/>
  <c r="AB25" i="3"/>
  <c r="AA25" i="3"/>
  <c r="Y25" i="3"/>
  <c r="Y38" i="3" s="1"/>
  <c r="W25" i="3"/>
  <c r="W38" i="3" s="1"/>
  <c r="U25" i="3"/>
  <c r="S25" i="3"/>
  <c r="Q25" i="3"/>
  <c r="Q38" i="3" s="1"/>
  <c r="O25" i="3"/>
  <c r="AC25" i="3" s="1"/>
  <c r="I25" i="3"/>
  <c r="Y22" i="3"/>
  <c r="W22" i="3"/>
  <c r="S22" i="3"/>
  <c r="O22" i="3"/>
  <c r="AC22" i="3" s="1"/>
  <c r="AB21" i="3"/>
  <c r="AA21" i="3"/>
  <c r="AA22" i="3" s="1"/>
  <c r="Y21" i="3"/>
  <c r="W21" i="3"/>
  <c r="U21" i="3"/>
  <c r="U22" i="3" s="1"/>
  <c r="S21" i="3"/>
  <c r="Q21" i="3"/>
  <c r="Q22" i="3" s="1"/>
  <c r="O21" i="3"/>
  <c r="AC21" i="3" s="1"/>
  <c r="C17" i="1" s="1"/>
  <c r="D17" i="1" s="1"/>
  <c r="I21" i="3"/>
  <c r="AA18" i="3"/>
  <c r="AA80" i="3" s="1"/>
  <c r="W18" i="3"/>
  <c r="S18" i="3"/>
  <c r="AB17" i="3"/>
  <c r="AA17" i="3"/>
  <c r="Y17" i="3"/>
  <c r="Y18" i="3" s="1"/>
  <c r="W17" i="3"/>
  <c r="U17" i="3"/>
  <c r="U18" i="3" s="1"/>
  <c r="S17" i="3"/>
  <c r="Q17" i="3"/>
  <c r="Q18" i="3" s="1"/>
  <c r="O17" i="3"/>
  <c r="O18" i="3" s="1"/>
  <c r="I17" i="3"/>
  <c r="AC98" i="3" l="1"/>
  <c r="D29" i="2"/>
  <c r="E29" i="2" s="1"/>
  <c r="Y80" i="3"/>
  <c r="AC67" i="3"/>
  <c r="AC79" i="3"/>
  <c r="C26" i="1"/>
  <c r="O80" i="3"/>
  <c r="AC18" i="3"/>
  <c r="S80" i="3"/>
  <c r="Q80" i="3"/>
  <c r="W80" i="3"/>
  <c r="C18" i="1"/>
  <c r="D18" i="1" s="1"/>
  <c r="C22" i="1"/>
  <c r="D22" i="1" s="1"/>
  <c r="D25" i="2"/>
  <c r="E25" i="2" s="1"/>
  <c r="AA102" i="3"/>
  <c r="U80" i="3"/>
  <c r="AC17" i="3"/>
  <c r="C16" i="1" s="1"/>
  <c r="AC42" i="3"/>
  <c r="C19" i="1" s="1"/>
  <c r="D19" i="1" s="1"/>
  <c r="AC87" i="3"/>
  <c r="C27" i="1" s="1"/>
  <c r="D27" i="1" s="1"/>
  <c r="AC60" i="3"/>
  <c r="C20" i="1" s="1"/>
  <c r="D20" i="1" s="1"/>
  <c r="AC64" i="3"/>
  <c r="C21" i="1" s="1"/>
  <c r="D21" i="1" s="1"/>
  <c r="O38" i="3"/>
  <c r="AC38" i="3" s="1"/>
  <c r="M85" i="3"/>
  <c r="C28" i="1" l="1"/>
  <c r="D26" i="1"/>
  <c r="D28" i="1" s="1"/>
  <c r="D28" i="2"/>
  <c r="M99" i="3"/>
  <c r="AC85" i="3"/>
  <c r="D20" i="2"/>
  <c r="E20" i="2" s="1"/>
  <c r="Q102" i="3"/>
  <c r="Y102" i="3"/>
  <c r="D24" i="2"/>
  <c r="E24" i="2" s="1"/>
  <c r="D23" i="2"/>
  <c r="E23" i="2" s="1"/>
  <c r="W102" i="3"/>
  <c r="S102" i="3"/>
  <c r="D21" i="2"/>
  <c r="E21" i="2" s="1"/>
  <c r="O102" i="3"/>
  <c r="AC80" i="3"/>
  <c r="D19" i="2"/>
  <c r="D16" i="1"/>
  <c r="D23" i="1" s="1"/>
  <c r="C23" i="1"/>
  <c r="U102" i="3"/>
  <c r="D22" i="2"/>
  <c r="E22" i="2" s="1"/>
  <c r="E19" i="2" l="1"/>
  <c r="E26" i="2" s="1"/>
  <c r="D26" i="2"/>
  <c r="M102" i="3"/>
  <c r="AC99" i="3"/>
  <c r="AC102" i="3" s="1"/>
  <c r="D30" i="2"/>
  <c r="E28" i="2"/>
  <c r="E30" i="2" s="1"/>
  <c r="B12" i="3" l="1"/>
  <c r="E31" i="2"/>
  <c r="D31" i="2"/>
  <c r="C30" i="1"/>
</calcChain>
</file>

<file path=xl/sharedStrings.xml><?xml version="1.0" encoding="utf-8"?>
<sst xmlns="http://schemas.openxmlformats.org/spreadsheetml/2006/main" count="488" uniqueCount="312">
  <si>
    <t xml:space="preserve">To: </t>
  </si>
  <si>
    <t>TD SYNNEX CORPORATION</t>
  </si>
  <si>
    <t>Ciena</t>
  </si>
  <si>
    <t>Quote created for:</t>
  </si>
  <si>
    <t>7035 Ridge Road</t>
  </si>
  <si>
    <t>Reference Number</t>
  </si>
  <si>
    <t>Hanover, MD 21076</t>
  </si>
  <si>
    <t>Valid Through:</t>
  </si>
  <si>
    <t>2023-12-31</t>
  </si>
  <si>
    <t>Quote Currency:</t>
  </si>
  <si>
    <t>USD</t>
  </si>
  <si>
    <t>Quote Name:</t>
  </si>
  <si>
    <t>City of Superior Wisconsin Deal Reg</t>
  </si>
  <si>
    <t>Salescart Number:</t>
  </si>
  <si>
    <t>Salesforce Opportunity:</t>
  </si>
  <si>
    <t>QuotePlus Quote ID</t>
  </si>
  <si>
    <t>3818137</t>
  </si>
  <si>
    <t>Project</t>
  </si>
  <si>
    <t>Version</t>
  </si>
  <si>
    <t>Date:</t>
  </si>
  <si>
    <t>v1</t>
  </si>
  <si>
    <t>Ciena Product</t>
  </si>
  <si>
    <t>Ext Price</t>
  </si>
  <si>
    <t xml:space="preserve"> 3801 </t>
  </si>
  <si>
    <t xml:space="preserve"> 3802 </t>
  </si>
  <si>
    <t xml:space="preserve"> 5164 </t>
  </si>
  <si>
    <t xml:space="preserve"> 8110 </t>
  </si>
  <si>
    <t xml:space="preserve"> MCP </t>
  </si>
  <si>
    <t xml:space="preserve"> SD EDGE OPS MANAGER </t>
  </si>
  <si>
    <t xml:space="preserve"> SD EDGE VBNG </t>
  </si>
  <si>
    <t>Product Subtotal:</t>
  </si>
  <si>
    <t>Ciena Professional Services</t>
  </si>
  <si>
    <t xml:space="preserve">DESIGN AUDIT &amp; OPER SVC POC </t>
  </si>
  <si>
    <t xml:space="preserve">MAINTAIN SERVICES </t>
  </si>
  <si>
    <t>Services Subtotal:</t>
  </si>
  <si>
    <t>Project Total Net:</t>
  </si>
  <si>
    <t>Important Information for Purchase Order</t>
  </si>
  <si>
    <t xml:space="preserve">Please be sure to reference the Ciena quote numbers from this quote on the Purchase order </t>
  </si>
  <si>
    <t>before submitting to Ciena. The quote numbers can be found in the cells with orange text.</t>
  </si>
  <si>
    <t>Ciena Quote #</t>
  </si>
  <si>
    <t>Products</t>
  </si>
  <si>
    <t>vBNG</t>
  </si>
  <si>
    <t>Core</t>
  </si>
  <si>
    <t>CPE</t>
  </si>
  <si>
    <t>Access Hub 1</t>
  </si>
  <si>
    <t>Access Hub 2</t>
  </si>
  <si>
    <t>Access Hub 3</t>
  </si>
  <si>
    <t>Spares</t>
  </si>
  <si>
    <t>Product Total</t>
  </si>
  <si>
    <t>Services</t>
  </si>
  <si>
    <t>DESIGN AUDIT &amp; OPER SVC POC</t>
  </si>
  <si>
    <t>Network</t>
  </si>
  <si>
    <t>MAINTAIN SERVICES</t>
  </si>
  <si>
    <t>Services Total</t>
  </si>
  <si>
    <t>Project NET Total USD:</t>
  </si>
  <si>
    <t>Customer :</t>
  </si>
  <si>
    <t>Region :</t>
  </si>
  <si>
    <t>AMER</t>
  </si>
  <si>
    <t>Quote Name :</t>
  </si>
  <si>
    <t>Reference Number :</t>
  </si>
  <si>
    <t>Salescart Number :</t>
  </si>
  <si>
    <t>QuotePlus Quote ID :</t>
  </si>
  <si>
    <t>before submitting to Ciena. The quote numbers can be found in the cells with bold orange text.</t>
  </si>
  <si>
    <t>Version :</t>
  </si>
  <si>
    <t>Prepared by :</t>
  </si>
  <si>
    <t>Aaron Lundblade</t>
  </si>
  <si>
    <t>Date :</t>
  </si>
  <si>
    <t>Valid Through :</t>
  </si>
  <si>
    <t>Extended Total</t>
  </si>
  <si>
    <t xml:space="preserve"> USD</t>
  </si>
  <si>
    <t>Product Family</t>
  </si>
  <si>
    <t>Item</t>
  </si>
  <si>
    <t>Typical</t>
  </si>
  <si>
    <t>Maximum</t>
  </si>
  <si>
    <t xml:space="preserve">List </t>
  </si>
  <si>
    <t>Discount</t>
  </si>
  <si>
    <t>Customer</t>
  </si>
  <si>
    <t>Network Site</t>
  </si>
  <si>
    <t>Total Customer</t>
  </si>
  <si>
    <t>Description</t>
  </si>
  <si>
    <t>Code</t>
  </si>
  <si>
    <t>Power</t>
  </si>
  <si>
    <t>Price</t>
  </si>
  <si>
    <t>%</t>
  </si>
  <si>
    <t>Unit Price</t>
  </si>
  <si>
    <t>Qty</t>
  </si>
  <si>
    <t>3801</t>
  </si>
  <si>
    <t>PTO KIT,3801,ONU,(1)XGS-PON SC/APC CONN,(1)10/100/1000/2500M RJ45, INCL. EXT NA AC PSU,PKG OF 10</t>
  </si>
  <si>
    <t>K70-3801-900</t>
  </si>
  <si>
    <t>Subtotal NET Price - 3801</t>
  </si>
  <si>
    <t>3802</t>
  </si>
  <si>
    <t>PTO KIT,3802,ONU,(1)XGS-PON SC/APC CONN,(1)1/2.5/5/10G RJ45,INCLUDES EXT NA AC PSU,PKG OF 10</t>
  </si>
  <si>
    <t>K70-3802-900</t>
  </si>
  <si>
    <t>Subtotal NET Price - 3802</t>
  </si>
  <si>
    <t>5164</t>
  </si>
  <si>
    <t>5164,(32)25/10/1G SFP28, (4)200/100G QSFP-DD, EXT. TEMP,DUAL DC POWER</t>
  </si>
  <si>
    <t>170-5164-902</t>
  </si>
  <si>
    <t>Software Licenses</t>
  </si>
  <si>
    <t>PTO KIT,SOFTWARE LICENSE,PER (1) OLT SFP+,(128) ONU,KIT 1</t>
  </si>
  <si>
    <t>K70-PONL-902</t>
  </si>
  <si>
    <t>SAOS 200G SOFTWARE LICENSE FOR 5164, PERPETUAL</t>
  </si>
  <si>
    <t>S75-LIC-5164200G-P</t>
  </si>
  <si>
    <t>SAOS BASE OS, ETHERNET &amp; OAM, FLEXE, 100G SOFTWARE LICENSE FOR 5164, PERPETUAL</t>
  </si>
  <si>
    <t>S75-LIC-5164EO-P</t>
  </si>
  <si>
    <t>SAOS ROUTING AND MPLS SOFTWARE LICENSE FOR 5164, PERPETUAL</t>
  </si>
  <si>
    <t>S75-LIC-5164MPLS-P</t>
  </si>
  <si>
    <t>SAOS SECURITY SOFTWARE LICENSE FOR 5164, PERPETUAL</t>
  </si>
  <si>
    <t>S75-LIC-5164SEC-P</t>
  </si>
  <si>
    <t>QSFP56</t>
  </si>
  <si>
    <t>200G,SM,QSFP56,10KM,1310NM</t>
  </si>
  <si>
    <t>XCVR-Q10P01</t>
  </si>
  <si>
    <t>QSFP28</t>
  </si>
  <si>
    <t>103.1G-112.28G, 10M, QSFP28-QSFP28 AOC</t>
  </si>
  <si>
    <t>160-9460-010</t>
  </si>
  <si>
    <t>SFP+</t>
  </si>
  <si>
    <t>10G PON UOLT SFP+, N2 CLASS, EXTENDED TEMP CHECK HOST SPECS FOR RANGE</t>
  </si>
  <si>
    <t>XCVR-SGPL02</t>
  </si>
  <si>
    <t>Subtotal NET Price - 5164</t>
  </si>
  <si>
    <t>8110</t>
  </si>
  <si>
    <t>8110/8114,DC PLUGGABLE POWER SUPPLY 48V</t>
  </si>
  <si>
    <t>170-0336-900</t>
  </si>
  <si>
    <t>8110,(22)100G QSFP28,(4)25G/10G/1G SFP28,(2)SLOTS 800G MOD,EXT. TEMP,(2)SLOTS AC OR DC PLUG PWR SUP</t>
  </si>
  <si>
    <t>170-8110-900</t>
  </si>
  <si>
    <t>Cables (Core)</t>
  </si>
  <si>
    <t>EIA561 RJ45F TO USB-C CONSOLE ADAPTER, 6 IN</t>
  </si>
  <si>
    <t>170-0366-900</t>
  </si>
  <si>
    <t>SAOS BASE OS, ETHERNET &amp; OAM SOFTWARE LICENSE FOR 8110, PERPETUAL</t>
  </si>
  <si>
    <t>S75-LIC-8110EO-P</t>
  </si>
  <si>
    <t>SAOS ROUTING/MPLS SOFTWARE LICENSE FOR 8110, PERPETUAL</t>
  </si>
  <si>
    <t>S75-LIC-8110MPLS-P</t>
  </si>
  <si>
    <t>SAOS SECURITY SOFTWARE LICENSE FOR 8110, PERPETUAL</t>
  </si>
  <si>
    <t>S75-LIC-8110SEC-P</t>
  </si>
  <si>
    <t>Traffic Modules</t>
  </si>
  <si>
    <t>8110/8114, MODULE, (2)400G QSFP-DD</t>
  </si>
  <si>
    <t>170-0339-900</t>
  </si>
  <si>
    <t>10 GIG,SM SFP+,LC CONNECTOR,10 KM,1310NM,EXTENDED TEMPERATURE</t>
  </si>
  <si>
    <t>XCVR-S10V31</t>
  </si>
  <si>
    <t>--</t>
  </si>
  <si>
    <t>Subtotal NET Price - 8110</t>
  </si>
  <si>
    <t>MCP</t>
  </si>
  <si>
    <t>Base RTUs</t>
  </si>
  <si>
    <t>MCP BASE SW PERPETUAL SCALE VIRTUAL RTU</t>
  </si>
  <si>
    <t>S16-RTU-MCPBA</t>
  </si>
  <si>
    <t>Subtotal NET Price - MCP</t>
  </si>
  <si>
    <t>SD EDGE OPS MANAGER</t>
  </si>
  <si>
    <t>Platform</t>
  </si>
  <si>
    <t>OPS MANAGER PLATFORM (DOUBLE QTY FOR REDUNDANCY)</t>
  </si>
  <si>
    <t>700-2301</t>
  </si>
  <si>
    <t>vBNG instances</t>
  </si>
  <si>
    <t>OPS MANAGER - 2X ACTIVE VBNG INSTANCES</t>
  </si>
  <si>
    <t>700-2302</t>
  </si>
  <si>
    <t>Subtotal NET Price - SD EDGE OPS MANAGER</t>
  </si>
  <si>
    <t>SD EDGE VBNG</t>
  </si>
  <si>
    <t>Control Plane Software</t>
  </si>
  <si>
    <t>VBNG ENHANCED CONTROL PLANE SOFTWARE</t>
  </si>
  <si>
    <t>700-1311-E</t>
  </si>
  <si>
    <t>User Plane Software</t>
  </si>
  <si>
    <t>VBNG ENHANCED USER PLANE SOFTWARE, PER GBPS (40G TO 99G)</t>
  </si>
  <si>
    <t>700-1307-E</t>
  </si>
  <si>
    <t>Subscribers - Control Plane</t>
  </si>
  <si>
    <t>VBNG CONTROL PLANE SUBSCRIBERS POOLED, PER SUB (5K TO 9,999)</t>
  </si>
  <si>
    <t>700-2442-POOL</t>
  </si>
  <si>
    <t>Subscribers - User Plane</t>
  </si>
  <si>
    <t>VBNG USER PLANE SUBSCRIBERS POOLED, PER SUB (5K TO 9,999)</t>
  </si>
  <si>
    <t>700-2452-POOL</t>
  </si>
  <si>
    <t>CGNAT licenses</t>
  </si>
  <si>
    <t>VBNG ENHANCED CGNAT SOFTWARE, PER GBPS (40G TO 99G)</t>
  </si>
  <si>
    <t>700-2437-E</t>
  </si>
  <si>
    <t>Subtotal NET Price - SD EDGE VBNG</t>
  </si>
  <si>
    <t>Total NET Price - Ciena Product</t>
  </si>
  <si>
    <t xml:space="preserve">
</t>
  </si>
  <si>
    <t>MCP NMS INSTALL WITH REMOTE DELIVERY - 3 VM HA GR CLUSTER</t>
  </si>
  <si>
    <t>80P-NMS0-MCP-VHR</t>
  </si>
  <si>
    <t>MCP 3 DAY ONBOARDING WITH REMOTE DELIVERY</t>
  </si>
  <si>
    <t>80P-NMS3-MCP</t>
  </si>
  <si>
    <t>Subtotal NET Price - DESIGN AUDIT &amp; OPER SVC POC</t>
  </si>
  <si>
    <t>GLOBAL 3801 NEXT BUSINESS DAY SHIP MANAGED SPARES 1 YEAR</t>
  </si>
  <si>
    <t>80M-3801-NBS</t>
  </si>
  <si>
    <t>GLOBAL 3801 COMPREHENSIVE SUPPORT 1 YEAR</t>
  </si>
  <si>
    <t>80M-3801-SSP-COM</t>
  </si>
  <si>
    <t>GLOBAL 3802 NEXT BUSINESS DAY SHIP MANAGED SPARES 1 YEAR</t>
  </si>
  <si>
    <t>80M-3802-NBS</t>
  </si>
  <si>
    <t>GLOBAL 3802 COMPREHENSIVE SUPPORT 1 YEAR</t>
  </si>
  <si>
    <t>80M-3802-SSP-COM</t>
  </si>
  <si>
    <t>GLOBAL 5164 NEXT BUSINESS DAY SHIP MANAGED SPARES 1 YEAR</t>
  </si>
  <si>
    <t>80M-5164-NBS</t>
  </si>
  <si>
    <t>GLOBAL 5164 COMPREHENSIVE SUPPORT 1 YEAR</t>
  </si>
  <si>
    <t>80M-5164-SSP-COM</t>
  </si>
  <si>
    <t>GLOBAL 8110 NEXT BUSINESS DAY SHIP MANAGED SPARES 1 YEAR</t>
  </si>
  <si>
    <t>80M-8110-NBS</t>
  </si>
  <si>
    <t>GLOBAL 8110 COMPREHENSIVE SUPPORT 1 YEAR</t>
  </si>
  <si>
    <t>80M-8110-SSP-COM</t>
  </si>
  <si>
    <t>MCP BASE SW, COMPREHENSIVE SUPPORT 1 YEAR</t>
  </si>
  <si>
    <t>80M-MCPBA-COM</t>
  </si>
  <si>
    <t>CIENA OPERATIONS MANAGER - COMPREHENSIVE SUPPORT 1 YEAR</t>
  </si>
  <si>
    <t>80M-OM-COM</t>
  </si>
  <si>
    <t>CIENA VIRTUAL BROADBAND NETWORK GATEWAY - COMPREHENSIVE SUPPORT 1 YEAR</t>
  </si>
  <si>
    <t>80M-VBNG-COM</t>
  </si>
  <si>
    <t>Subtotal NET Price - MAINTAIN SERVICES</t>
  </si>
  <si>
    <t>Total NET Price - Ciena Services</t>
  </si>
  <si>
    <t>Total Extended Price</t>
  </si>
  <si>
    <t>Total Typical Power</t>
  </si>
  <si>
    <t>Total Maximum Power</t>
  </si>
  <si>
    <t>**Terms and Conditions Notice**</t>
  </si>
  <si>
    <t>Unless the parties have a signed agreement for the purchase of hardware, software and/or services, your purchase of the hardware, software and/or services detailed on the applicable quote are subject to Ciena’s standard terms and conditions, which are available for review at the link below.</t>
  </si>
  <si>
    <t>Region</t>
  </si>
  <si>
    <t xml:space="preserve">Quote </t>
  </si>
  <si>
    <t>Prepared by</t>
  </si>
  <si>
    <t>Date</t>
  </si>
  <si>
    <t>Valid Through</t>
  </si>
  <si>
    <t>Per Site Emissions Summary</t>
  </si>
  <si>
    <t>Site Name</t>
  </si>
  <si>
    <t>Country</t>
  </si>
  <si>
    <t>United States</t>
  </si>
  <si>
    <t>Typical Power Consumption (W)</t>
  </si>
  <si>
    <t>Annual Typical Power Consumption (kWh / yr)</t>
  </si>
  <si>
    <t>Carbon Emissions (kg CO2e)</t>
  </si>
  <si>
    <t>Carbon Emissions (MT, Metric Ton)</t>
  </si>
  <si>
    <t>Per Country Emissions Summary</t>
  </si>
  <si>
    <t>Per Network Emissions Summary</t>
  </si>
  <si>
    <t>**Legal Notice**</t>
  </si>
  <si>
    <t>Annual power consumption (kWh) is calculated by multiplying the Typical Power by annual runtime hours, assuming the equipment runs 24hrs/day for 365.25 days.</t>
  </si>
  <si>
    <t>Typical Power values reflect average power consumption for a network configuration; please note that some network configurations will consume more power and reflect higher emissions than what is stated in the report.</t>
  </si>
  <si>
    <t>Location-based or residual mix emission factors are assigned on a per-country basis wherever available. If not available, regional emission factors have been calculated and assigned.</t>
  </si>
  <si>
    <t>Sources include: Climate Transparency 2022 &amp; 2020; AIB 2021; eGrid 2020; DEFRA 2021; EIA 2020; Canada’s National Inventory 2021; Hong Kong Electric Company 2020; Singapore EMA 2020; Thailand EPPO 2020; Dubai Electricity &amp; Water Authority 2020; New Zealand 2020 National Inventory.</t>
  </si>
  <si>
    <t>Important Information for Quote Scope</t>
  </si>
  <si>
    <t xml:space="preserve">Any changes to this quote requires a new quote to be generated. </t>
  </si>
  <si>
    <t>Please do not make any adds or deletes without consulting your account team.</t>
  </si>
  <si>
    <t>Logical years will align to the service start date per equipment.</t>
  </si>
  <si>
    <t>Service Duration</t>
  </si>
  <si>
    <t>Service Warranty</t>
  </si>
  <si>
    <t>Year 1</t>
  </si>
  <si>
    <t>Years</t>
  </si>
  <si>
    <t>Months</t>
  </si>
  <si>
    <t>Included Months</t>
  </si>
  <si>
    <t>Configuration</t>
  </si>
  <si>
    <t>Sales Engineer</t>
  </si>
  <si>
    <t>Project Type</t>
  </si>
  <si>
    <t>Price book info</t>
  </si>
  <si>
    <t>TD_SYNNEX_DEAL_REG_ELITE_FY23_USD1.00_20230201</t>
  </si>
  <si>
    <t>The following represents a summary of the quoted Services.</t>
  </si>
  <si>
    <t>For complete Terms and Conditions please refer to the Ciena Specialist Services Statement of Work documents.</t>
  </si>
  <si>
    <t>Deployment Services - Buyer Specific Service Scope</t>
  </si>
  <si>
    <t>MCP Integration Services</t>
  </si>
  <si>
    <t>Ciena will perform a greenfield installation (80P-NMS0-MCP-VHR) of the MCP software, including:</t>
  </si>
  <si>
    <t>An in-depth review of the server(s) hardware configuration to ensure compatibility with the MCP Software as per the Ciena Engineering guidelines</t>
  </si>
  <si>
    <t>Installation, configuration, and patching of the customer provided operating system, Red Hat Enterprise Linux, on the required servers</t>
  </si>
  <si>
    <t>Installation and configuration of the customer provided hypervisor software (VMware).</t>
  </si>
  <si>
    <t>Creation and configuration of the virtual machines required to support the MCP Software installation</t>
  </si>
  <si>
    <t>Creation and configuration of the HA cluster environment required to support the MCP Software installation</t>
  </si>
  <si>
    <t>Installation of the MCP Software applications and patch bundles</t>
  </si>
  <si>
    <t>Support with the generation of the software license key codes for Ciena's MCP Software applications</t>
  </si>
  <si>
    <t>Ensure MCP Software can discover/enroll active Ciena network devices</t>
  </si>
  <si>
    <t>Execution of Ciena provided MCP Software Verification Test Plan to verify successful completion of the project.  These test cases are representative of the products basic functionality. If the additional or Buyer specific test cases are required, Ciena can provide a custom quote for the incremental requirements.</t>
  </si>
  <si>
    <t>Generate Final Hardware and Software Configuration Report</t>
  </si>
  <si>
    <t>The Installation will be performed remotely</t>
  </si>
  <si>
    <t>3 Day on boarding will be provided and includes (80P-NMS3-MCP):</t>
  </si>
  <si>
    <t>System health, overview of tools available to create platform/application health reports/logs</t>
  </si>
  <si>
    <t>Overview of managing the MCP Software map and visual labels</t>
  </si>
  <si>
    <t>Overview of managing MCP Software users, roles and security settings</t>
  </si>
  <si>
    <t>NE management, NE enroll/de-enroll; bulk enroll; viewing inventory; operational state; alarm viewing and management, etc</t>
  </si>
  <si>
    <t>MCP &amp; NE licensing overview and operation using Flexera server</t>
  </si>
  <si>
    <t>Hypervisor overview, host/client configuration properties review</t>
  </si>
  <si>
    <t>HA cluster failover architecture and operation * only for valid platform configurations</t>
  </si>
  <si>
    <t>Review of security management, NE connection profiles and security</t>
  </si>
  <si>
    <t>NE back-up and restore profiles, scheduling, administration</t>
  </si>
  <si>
    <t>Overview of NE software upgrade properties/configuration</t>
  </si>
  <si>
    <t>Managing saved data on the platform, moving, deleting archiving stored files, etc</t>
  </si>
  <si>
    <t>The onboarding will be performed remotely</t>
  </si>
  <si>
    <t>Project Management</t>
  </si>
  <si>
    <t>Ciena will assign a Project Manager who will act as the single point of contact and be responsible for providing a baseline project plan and managing the project to that plan.  This will include:</t>
  </si>
  <si>
    <t>A summary the pre-defined agreed scope of work and acceptance criteria</t>
  </si>
  <si>
    <t>A breakdown of the Ciena and Customer responsibilities</t>
  </si>
  <si>
    <t>Project team contact list</t>
  </si>
  <si>
    <t>Project action register</t>
  </si>
  <si>
    <t>Kickoff the project and manage the progress of individual tasks within the project plan</t>
  </si>
  <si>
    <t>Perform updates to the project plan and communicate with the customer as mutually agreed to</t>
  </si>
  <si>
    <t>Overseeing the Job Change Order (JCO) Process</t>
  </si>
  <si>
    <t>Job Change Order (JCO) Process</t>
  </si>
  <si>
    <t>1. The assumptions and detailed scope provided in this document align with the prices quoted by Ciena. Ciena uses a Job Change Order (“JCO”) process for purposes of making adjustments to the fixed and firm price quote.</t>
  </si>
  <si>
    <t>The JCO will identify the change and provide a fixed and firm price adjustment, if required.</t>
  </si>
  <si>
    <t>1.1. When the necessity for Service modifications that affect price, schedule, or service performance arises, a written JCO will be required to obtain agreement and approval between Ciena and Customer.</t>
  </si>
  <si>
    <t>The JCO process will also be used to track and document on site changes. If the parties are unable to agree on a JCO, then the parties shall complete the project according to the original Statement of Work.</t>
  </si>
  <si>
    <t>Ciena shall not be obligated to fulfill any services or deliver any deliverable required by said rejected JCO.</t>
  </si>
  <si>
    <t>2. When initiated by Ciena the process is as follows:</t>
  </si>
  <si>
    <t>2.1. Ciena notifies Customer’s designated PoC of required changes.</t>
  </si>
  <si>
    <t>2.2. Ciena prepares JCO with a unique tracking number that incorporates the required changes including price estimate, impact on schedule, and expected changes in Service performance.</t>
  </si>
  <si>
    <t>Ciena prepares change order with a unique tracking number that incorporates the required changes including cost estimate, impact on schedule, and expected changes in Service performance.</t>
  </si>
  <si>
    <t>2.3. Customer provides written approval of the JCO price and adjustments to schedule and Service performance expectations.</t>
  </si>
  <si>
    <t>3. When initiated by Customer the process is as follows:</t>
  </si>
  <si>
    <t>3.1. Customer identifies requirement for Service modifications and notifies Ciena project manager of required changes while providing input regarding reasons for the JCO.</t>
  </si>
  <si>
    <t>3.2. Customer prepares change order incorporating the required changes to include cost estimate, impact on schedule, and expected changes in service performance.</t>
  </si>
  <si>
    <t>3.2. Ciena prepares the JCO incorporating the required changes to include price estimate, impact on schedule, and expected changes in Service performance.</t>
  </si>
  <si>
    <t>3.3. Customer provides written approval of the JCO price and adjustments to schedule and Service performance expectations.</t>
  </si>
  <si>
    <t>4. Regardless of which party initiates the scope change, Ciena will provide a means of tracking and organizing all proposed JCOs on a mutually agreed basis.</t>
  </si>
  <si>
    <t>5. Regardless of which party initiates the scope change, and notwithstanding anything else in this section, any work related to the JCO will not begin until Ciena receives a PO reflecting the additional price associated with the JCO from Customer.</t>
  </si>
  <si>
    <t>Upon receipt of the PO, and at Ciena’s sole discretion, Ciena may invoice Customer for the JCO related work immediately upon completion of such work. For the avoidance of doubt, and only as applicable, any payments for work related to the</t>
  </si>
  <si>
    <t>JCO is not part of any previously agreed upon invoicing schedule by the parties. Payment is due net thirty (30) days from the date of issuance of Ciena’s invoice.</t>
  </si>
  <si>
    <t>Other Terms and Conditions</t>
  </si>
  <si>
    <t>Upon completion of this scope of work, the customer is responsible to change the authenticators (for example, passwords, certificates, etc.) of all systems involved in the project, including but not limited to:</t>
  </si>
  <si>
    <t>Network elements</t>
  </si>
  <si>
    <t>NMS</t>
  </si>
  <si>
    <t>Server/cloud infrastructure</t>
  </si>
  <si>
    <t>Software applications</t>
  </si>
  <si>
    <t>Maintenance Services</t>
  </si>
  <si>
    <t>Technical Support:</t>
  </si>
  <si>
    <t>Ciena's support model is a set of multi-technology support services that consists of technical support, software support, lifecycle management, personalized support, and proactive service support options:</t>
  </si>
  <si>
    <t>Comprehensive Support</t>
  </si>
  <si>
    <t>Comprehensive Support provides access to the CTS hotline 7 days a week, 24 hours per day, 365 days a year (7x24x365) for both emergency and non-emergency issues.</t>
  </si>
  <si>
    <t>Business Day support is provided by the Regional Technical Support team associated with the Customer’s calling location.</t>
  </si>
  <si>
    <t>Spares Management:</t>
  </si>
  <si>
    <t>As a supplement to Ciena’s Standard Hardware Repair Services, Ciena will ship a replacement part by the next business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</si>
</sst>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yyyy\-mm\-dd;@"/>
    <numFmt numFmtId="167" formatCode="m/d/yy;@"/>
    <numFmt numFmtId="168" formatCode="_(* #,##0_);_(* \(#,##0\);_(* &quot;&quot;_);_(@_)"/>
    <numFmt numFmtId="169" formatCode="#,##0.0"/>
    <numFmt numFmtId="170" formatCode="#,##0.000"/>
    <numFmt numFmtId="171" formatCode="#,##0.00000"/>
    <numFmt numFmtId="172" formatCode="0.0"/>
    <numFmt numFmtId="173" formatCode="\$#,##0.00"/>
    <numFmt numFmtId="174" formatCode="_(&quot;$ &quot;#,##0.00_);_(&quot;$ (&quot;#,##0.00\);_(&quot;$ 0.00&quot;_);_(@_)"/>
    <numFmt numFmtId="175" formatCode="&quot;$&quot;#,##0.00"/>
  </numFmts>
  <fonts count="35" x14ac:knownFonts="1">
    <font>
      <sz val="12"/>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2"/>
      <color theme="1"/>
      <name val="Calibri"/>
      <family val="2"/>
      <scheme val="minor"/>
    </font>
    <font>
      <sz val="12"/>
      <color theme="1"/>
      <name val="Calibri"/>
      <family val="2"/>
      <scheme val="minor"/>
    </font>
    <font>
      <sz val="9"/>
      <color rgb="FF000000"/>
      <name val="Arial"/>
      <family val="2"/>
    </font>
    <font>
      <b/>
      <sz val="12"/>
      <color rgb="FF000000"/>
      <name val="Arial"/>
      <family val="2"/>
    </font>
    <font>
      <sz val="11"/>
      <color rgb="FF000000"/>
      <name val="Arial"/>
      <family val="2"/>
    </font>
    <font>
      <b/>
      <sz val="9"/>
      <color rgb="FFFF0000"/>
      <name val="Arial"/>
      <family val="2"/>
    </font>
    <font>
      <b/>
      <sz val="12"/>
      <color rgb="FF000000"/>
      <name val="Calibri"/>
      <family val="2"/>
      <scheme val="minor"/>
    </font>
    <font>
      <b/>
      <sz val="9"/>
      <color rgb="FF000000"/>
      <name val="Arial"/>
      <family val="2"/>
    </font>
    <font>
      <sz val="12"/>
      <color rgb="FF000000"/>
      <name val="Calibri"/>
      <family val="2"/>
      <scheme val="minor"/>
    </font>
    <font>
      <sz val="12"/>
      <name val="Calibri"/>
      <family val="2"/>
      <scheme val="minor"/>
    </font>
    <font>
      <sz val="12"/>
      <color rgb="FFFF0000"/>
      <name val="Calibri"/>
      <family val="2"/>
      <scheme val="minor"/>
    </font>
    <font>
      <sz val="12"/>
      <color rgb="FF7030A0"/>
      <name val="Calibri"/>
      <family val="2"/>
      <scheme val="minor"/>
    </font>
    <font>
      <sz val="12"/>
      <color theme="5"/>
      <name val="Calibri"/>
      <family val="2"/>
      <scheme val="minor"/>
    </font>
    <font>
      <b/>
      <u/>
      <sz val="12"/>
      <color rgb="FFFF0000"/>
      <name val="Calibri"/>
      <family val="2"/>
      <scheme val="minor"/>
    </font>
    <font>
      <b/>
      <sz val="11"/>
      <color rgb="FF000000"/>
      <name val="Arial"/>
      <family val="2"/>
    </font>
    <font>
      <b/>
      <sz val="12"/>
      <color rgb="FFFF0000"/>
      <name val="Calibri"/>
      <family val="2"/>
      <scheme val="minor"/>
    </font>
    <font>
      <sz val="9"/>
      <color theme="9"/>
      <name val="Arial"/>
      <family val="2"/>
    </font>
    <font>
      <b/>
      <sz val="12"/>
      <color theme="5" tint="-0.24994659260841701"/>
      <name val="Calibri"/>
      <family val="2"/>
      <scheme val="minor"/>
    </font>
    <font>
      <sz val="9"/>
      <color rgb="FF7030A0"/>
      <name val="Arial"/>
      <family val="2"/>
    </font>
    <font>
      <sz val="12"/>
      <color theme="0" tint="-0.499984740745262"/>
      <name val="Calibri"/>
      <family val="2"/>
      <scheme val="minor"/>
    </font>
    <font>
      <sz val="9"/>
      <color rgb="FF000000"/>
      <name val="Calibri"/>
      <family val="2"/>
      <charset val="1"/>
    </font>
    <font>
      <b/>
      <sz val="14"/>
      <color theme="1"/>
      <name val="Calibri"/>
      <family val="2"/>
      <scheme val="minor"/>
    </font>
    <font>
      <u/>
      <sz val="12"/>
      <color theme="10"/>
      <name val="Calibri"/>
      <family val="2"/>
      <scheme val="minor"/>
    </font>
    <font>
      <b/>
      <u/>
      <sz val="12"/>
      <color theme="10"/>
      <name val="Calibri"/>
      <family val="2"/>
      <scheme val="minor"/>
    </font>
    <font>
      <b/>
      <i/>
      <sz val="12"/>
      <color rgb="FF0070C0"/>
      <name val="Calibri"/>
      <family val="2"/>
      <scheme val="minor"/>
    </font>
    <font>
      <b/>
      <sz val="14"/>
      <color rgb="FFFF0000"/>
      <name val="Calibri"/>
      <family val="2"/>
      <scheme val="minor"/>
    </font>
    <font>
      <b/>
      <sz val="9"/>
      <color rgb="FF333333"/>
      <name val="Arial"/>
      <family val="2"/>
    </font>
    <font>
      <b/>
      <sz val="14"/>
      <color rgb="FF333333"/>
      <name val="Arial"/>
      <family val="2"/>
    </font>
    <font>
      <i/>
      <sz val="12"/>
      <color rgb="FF0070C0"/>
      <name val="Calibri"/>
      <family val="2"/>
    </font>
    <font>
      <i/>
      <sz val="12"/>
      <color rgb="FF0070C0"/>
      <name val="Calibri"/>
      <family val="2"/>
      <scheme val="minor"/>
    </font>
    <font>
      <i/>
      <sz val="11"/>
      <color theme="1"/>
      <name val="Calibri"/>
      <family val="2"/>
      <scheme val="minor"/>
    </font>
  </fonts>
  <fills count="10">
    <fill>
      <patternFill patternType="none"/>
    </fill>
    <fill>
      <patternFill patternType="gray125"/>
    </fill>
    <fill>
      <patternFill patternType="solid">
        <fgColor theme="7" tint="0.59996337778862885"/>
        <bgColor indexed="65"/>
      </patternFill>
    </fill>
    <fill>
      <patternFill patternType="solid">
        <fgColor theme="2"/>
      </patternFill>
    </fill>
    <fill>
      <patternFill patternType="solid">
        <fgColor theme="2" tint="-0.24994659260841701"/>
        <bgColor indexed="65"/>
      </patternFill>
    </fill>
    <fill>
      <patternFill patternType="solid">
        <fgColor theme="0"/>
      </patternFill>
    </fill>
    <fill>
      <patternFill patternType="solid">
        <fgColor theme="2" tint="-9.9948118533890809E-2"/>
        <bgColor indexed="65"/>
      </patternFill>
    </fill>
    <fill>
      <patternFill patternType="solid">
        <fgColor theme="2" tint="-9.9948118533890809E-2"/>
        <bgColor indexed="64"/>
      </patternFill>
    </fill>
    <fill>
      <patternFill patternType="solid">
        <fgColor rgb="FF92D050"/>
        <bgColor indexed="64"/>
      </patternFill>
    </fill>
    <fill>
      <patternFill patternType="solid">
        <fgColor theme="0" tint="-0.14993743705557422"/>
        <bgColor indexed="65"/>
      </patternFill>
    </fill>
  </fills>
  <borders count="1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s>
  <cellStyleXfs count="93">
    <xf numFmtId="0" fontId="0" fillId="0" borderId="0"/>
    <xf numFmtId="49" fontId="4" fillId="0" borderId="0">
      <alignment horizontal="left" vertical="center"/>
    </xf>
    <xf numFmtId="49" fontId="5" fillId="0" borderId="0">
      <alignment vertical="center"/>
      <protection locked="0"/>
    </xf>
    <xf numFmtId="0" fontId="2" fillId="0" borderId="0"/>
    <xf numFmtId="49" fontId="4" fillId="0" borderId="0">
      <alignment horizontal="left" vertical="center"/>
    </xf>
    <xf numFmtId="49" fontId="5" fillId="0" borderId="0">
      <alignment vertical="center"/>
      <protection locked="0"/>
    </xf>
    <xf numFmtId="0" fontId="10" fillId="0" borderId="1">
      <alignment horizontal="left" vertical="center"/>
    </xf>
    <xf numFmtId="164" fontId="4" fillId="0" borderId="3">
      <alignment horizontal="left" vertical="center"/>
      <protection locked="0"/>
    </xf>
    <xf numFmtId="0" fontId="10" fillId="2" borderId="1">
      <alignment horizontal="left" vertical="center"/>
    </xf>
    <xf numFmtId="0" fontId="10" fillId="2" borderId="2">
      <alignment horizontal="right" vertical="center"/>
    </xf>
    <xf numFmtId="0" fontId="5" fillId="0" borderId="5">
      <alignment horizontal="left" vertical="center"/>
    </xf>
    <xf numFmtId="4" fontId="5" fillId="3" borderId="7"/>
    <xf numFmtId="0" fontId="4" fillId="3" borderId="1"/>
    <xf numFmtId="4" fontId="4" fillId="3" borderId="2">
      <alignment horizontal="right" vertical="center"/>
    </xf>
    <xf numFmtId="0" fontId="4" fillId="4" borderId="1">
      <alignment horizontal="left" vertical="center"/>
    </xf>
    <xf numFmtId="4" fontId="4" fillId="4" borderId="2">
      <alignment horizontal="right" vertical="center"/>
    </xf>
    <xf numFmtId="0" fontId="4" fillId="3" borderId="1"/>
    <xf numFmtId="4" fontId="4" fillId="3" borderId="2">
      <alignment horizontal="right"/>
    </xf>
    <xf numFmtId="0" fontId="2" fillId="0" borderId="0"/>
    <xf numFmtId="43" fontId="2" fillId="0" borderId="0"/>
    <xf numFmtId="0" fontId="11" fillId="5" borderId="2">
      <alignment horizontal="right" vertical="center"/>
    </xf>
    <xf numFmtId="0" fontId="5" fillId="5" borderId="3">
      <alignment vertical="center"/>
    </xf>
    <xf numFmtId="4" fontId="5" fillId="0" borderId="7"/>
    <xf numFmtId="0" fontId="4" fillId="3" borderId="4">
      <alignment horizontal="left" vertical="center"/>
    </xf>
    <xf numFmtId="0" fontId="5" fillId="0" borderId="6"/>
    <xf numFmtId="4" fontId="12" fillId="0" borderId="7">
      <alignment horizontal="right" vertical="center"/>
    </xf>
    <xf numFmtId="0" fontId="4" fillId="4" borderId="4">
      <alignment horizontal="left" vertical="center"/>
    </xf>
    <xf numFmtId="0" fontId="4" fillId="4" borderId="2">
      <alignment horizontal="center" vertical="center" wrapText="1"/>
    </xf>
    <xf numFmtId="4" fontId="4" fillId="0" borderId="2">
      <alignment horizontal="right" vertical="center"/>
    </xf>
    <xf numFmtId="4" fontId="10" fillId="0" borderId="3">
      <alignment horizontal="right" vertical="center"/>
    </xf>
    <xf numFmtId="0" fontId="4" fillId="4" borderId="3">
      <alignment horizontal="center" vertical="center"/>
    </xf>
    <xf numFmtId="164" fontId="5" fillId="0" borderId="0">
      <alignment horizontal="left" vertical="center"/>
      <protection locked="0"/>
    </xf>
    <xf numFmtId="49" fontId="5" fillId="2" borderId="9">
      <alignment horizontal="left"/>
    </xf>
    <xf numFmtId="49" fontId="5" fillId="2" borderId="8"/>
    <xf numFmtId="49" fontId="5" fillId="2" borderId="13">
      <alignment horizontal="left"/>
    </xf>
    <xf numFmtId="49" fontId="5" fillId="2" borderId="14">
      <alignment horizontal="right"/>
    </xf>
    <xf numFmtId="0" fontId="4" fillId="6" borderId="4">
      <alignment horizontal="left" vertical="center"/>
    </xf>
    <xf numFmtId="0" fontId="21" fillId="7" borderId="1"/>
    <xf numFmtId="0" fontId="4" fillId="7" borderId="2"/>
    <xf numFmtId="0" fontId="4" fillId="3" borderId="0"/>
    <xf numFmtId="0" fontId="4" fillId="3" borderId="5"/>
    <xf numFmtId="0" fontId="4" fillId="3" borderId="6"/>
    <xf numFmtId="0" fontId="5" fillId="0" borderId="0"/>
    <xf numFmtId="172" fontId="5" fillId="0" borderId="0">
      <alignment horizontal="right"/>
    </xf>
    <xf numFmtId="4" fontId="5" fillId="0" borderId="0">
      <alignment horizontal="right" vertical="center"/>
    </xf>
    <xf numFmtId="0" fontId="4" fillId="0" borderId="4">
      <alignment horizontal="left" vertical="center"/>
    </xf>
    <xf numFmtId="0" fontId="4" fillId="0" borderId="1">
      <alignment horizontal="right" vertical="center"/>
    </xf>
    <xf numFmtId="1" fontId="5" fillId="0" borderId="5">
      <alignment horizontal="center" vertical="center"/>
    </xf>
    <xf numFmtId="4" fontId="5" fillId="0" borderId="6">
      <alignment horizontal="right" vertical="center"/>
    </xf>
    <xf numFmtId="0" fontId="2" fillId="0" borderId="0"/>
    <xf numFmtId="0" fontId="4" fillId="4" borderId="1">
      <alignment horizontal="right" vertical="center"/>
    </xf>
    <xf numFmtId="0" fontId="26" fillId="0" borderId="0"/>
    <xf numFmtId="169" fontId="5" fillId="0" borderId="7">
      <alignment horizontal="right" vertical="center"/>
    </xf>
    <xf numFmtId="3" fontId="13" fillId="0" borderId="7">
      <alignment horizontal="right" vertical="center"/>
    </xf>
    <xf numFmtId="170" fontId="5" fillId="0" borderId="7">
      <alignment horizontal="right" vertical="center"/>
    </xf>
    <xf numFmtId="49" fontId="14" fillId="0" borderId="0">
      <alignment horizontal="right" wrapText="1"/>
    </xf>
    <xf numFmtId="0" fontId="26" fillId="0" borderId="0"/>
    <xf numFmtId="49" fontId="5" fillId="2" borderId="15">
      <alignment horizontal="right"/>
    </xf>
    <xf numFmtId="49" fontId="5" fillId="2" borderId="11"/>
    <xf numFmtId="49" fontId="5" fillId="2" borderId="12">
      <alignment horizontal="left"/>
    </xf>
    <xf numFmtId="49" fontId="5" fillId="2" borderId="8"/>
    <xf numFmtId="49" fontId="5" fillId="2" borderId="10">
      <alignment horizontal="right" wrapText="1"/>
    </xf>
    <xf numFmtId="49" fontId="5" fillId="2" borderId="9">
      <alignment horizontal="left"/>
    </xf>
    <xf numFmtId="0" fontId="5" fillId="8" borderId="0"/>
    <xf numFmtId="2" fontId="5" fillId="0" borderId="0">
      <alignment horizontal="right"/>
    </xf>
    <xf numFmtId="3" fontId="33" fillId="0" borderId="7">
      <alignment horizontal="right" vertical="center"/>
    </xf>
    <xf numFmtId="170" fontId="33" fillId="0" borderId="7">
      <alignment horizontal="right" vertical="center"/>
    </xf>
    <xf numFmtId="169" fontId="33" fillId="0" borderId="7">
      <alignment horizontal="right" vertical="center"/>
    </xf>
    <xf numFmtId="4" fontId="4" fillId="0" borderId="0">
      <alignment horizontal="left"/>
    </xf>
    <xf numFmtId="4" fontId="4" fillId="0" borderId="2">
      <alignment horizontal="right"/>
    </xf>
    <xf numFmtId="4" fontId="16" fillId="0" borderId="7">
      <alignment wrapText="1"/>
    </xf>
    <xf numFmtId="0" fontId="2" fillId="0" borderId="0"/>
    <xf numFmtId="0" fontId="21" fillId="7" borderId="3"/>
    <xf numFmtId="0" fontId="32" fillId="0" borderId="0">
      <alignment horizontal="right" vertical="center" wrapText="1"/>
    </xf>
    <xf numFmtId="0" fontId="32" fillId="0" borderId="0">
      <alignment horizontal="right" vertical="center"/>
    </xf>
    <xf numFmtId="0" fontId="33" fillId="0" borderId="7">
      <alignment horizontal="center" wrapText="1"/>
    </xf>
    <xf numFmtId="4" fontId="5" fillId="0" borderId="7">
      <alignment horizontal="right" vertical="center"/>
    </xf>
    <xf numFmtId="0" fontId="4" fillId="4" borderId="4">
      <alignment horizontal="left" vertical="center"/>
    </xf>
    <xf numFmtId="0" fontId="4" fillId="4" borderId="1">
      <alignment horizontal="right" vertical="center"/>
    </xf>
    <xf numFmtId="172" fontId="4" fillId="4" borderId="2">
      <alignment horizontal="right" vertical="center"/>
    </xf>
    <xf numFmtId="1" fontId="5" fillId="0" borderId="7">
      <alignment horizontal="center" vertical="center"/>
    </xf>
    <xf numFmtId="0" fontId="4" fillId="3" borderId="7"/>
    <xf numFmtId="4" fontId="4" fillId="0" borderId="3">
      <alignment horizontal="right" vertical="center"/>
    </xf>
    <xf numFmtId="49" fontId="14" fillId="0" borderId="7">
      <alignment horizontal="right"/>
    </xf>
    <xf numFmtId="0" fontId="4" fillId="4" borderId="3">
      <alignment horizontal="right" vertical="center"/>
    </xf>
    <xf numFmtId="4" fontId="4" fillId="3" borderId="3"/>
    <xf numFmtId="4" fontId="28" fillId="3" borderId="3">
      <alignment horizontal="right" vertical="center"/>
    </xf>
    <xf numFmtId="4" fontId="28" fillId="3" borderId="1">
      <alignment horizontal="left" vertical="center"/>
    </xf>
    <xf numFmtId="4" fontId="28" fillId="3" borderId="2">
      <alignment horizontal="right" vertical="center"/>
    </xf>
    <xf numFmtId="175" fontId="4" fillId="9" borderId="0">
      <alignment horizontal="right" vertical="center"/>
    </xf>
    <xf numFmtId="0" fontId="2" fillId="0" borderId="0"/>
    <xf numFmtId="0" fontId="2" fillId="0" borderId="0"/>
    <xf numFmtId="0" fontId="2" fillId="0" borderId="0"/>
  </cellStyleXfs>
  <cellXfs count="154">
    <xf numFmtId="0" fontId="0" fillId="0" borderId="0" xfId="0"/>
    <xf numFmtId="0" fontId="4" fillId="0" borderId="0" xfId="1" applyNumberFormat="1" applyAlignment="1">
      <alignment horizontal="left" vertical="center"/>
    </xf>
    <xf numFmtId="0" fontId="5" fillId="0" borderId="0" xfId="2" applyNumberFormat="1" applyAlignment="1" applyProtection="1">
      <alignment vertical="center"/>
      <protection locked="0"/>
    </xf>
    <xf numFmtId="0" fontId="6" fillId="0" borderId="0" xfId="3" applyFont="1" applyAlignment="1">
      <alignment horizontal="center" vertical="center"/>
    </xf>
    <xf numFmtId="0" fontId="1" fillId="0" borderId="0" xfId="3" applyFont="1"/>
    <xf numFmtId="0" fontId="4" fillId="0" borderId="0" xfId="4" applyNumberFormat="1" applyAlignment="1">
      <alignment horizontal="left" vertical="center"/>
    </xf>
    <xf numFmtId="0" fontId="5" fillId="0" borderId="0" xfId="5" applyNumberFormat="1" applyAlignment="1" applyProtection="1">
      <alignment vertical="center"/>
      <protection locked="0"/>
    </xf>
    <xf numFmtId="0" fontId="10" fillId="0" borderId="1" xfId="6" applyAlignment="1">
      <alignment horizontal="left" vertical="center"/>
    </xf>
    <xf numFmtId="0" fontId="10" fillId="0" borderId="3" xfId="6" applyBorder="1" applyAlignment="1">
      <alignment horizontal="left" vertical="center"/>
    </xf>
    <xf numFmtId="164" fontId="4" fillId="0" borderId="3" xfId="7" applyAlignment="1" applyProtection="1">
      <alignment horizontal="left" vertical="center"/>
      <protection locked="0"/>
    </xf>
    <xf numFmtId="0" fontId="10" fillId="2" borderId="1" xfId="8" applyAlignment="1">
      <alignment horizontal="left" vertical="center"/>
    </xf>
    <xf numFmtId="0" fontId="10" fillId="2" borderId="2" xfId="9" applyAlignment="1">
      <alignment horizontal="right" vertical="center"/>
    </xf>
    <xf numFmtId="0" fontId="5" fillId="0" borderId="5" xfId="10" applyAlignment="1">
      <alignment horizontal="left" vertical="center"/>
    </xf>
    <xf numFmtId="4" fontId="5" fillId="3" borderId="7" xfId="11"/>
    <xf numFmtId="0" fontId="4" fillId="3" borderId="1" xfId="12"/>
    <xf numFmtId="4" fontId="4" fillId="3" borderId="2" xfId="13" applyAlignment="1">
      <alignment horizontal="right" vertical="center"/>
    </xf>
    <xf numFmtId="0" fontId="4" fillId="4" borderId="1" xfId="14" applyAlignment="1">
      <alignment horizontal="left" vertical="center"/>
    </xf>
    <xf numFmtId="4" fontId="4" fillId="4" borderId="2" xfId="15" applyAlignment="1">
      <alignment horizontal="right" vertical="center"/>
    </xf>
    <xf numFmtId="4" fontId="4" fillId="3" borderId="2" xfId="17" applyAlignment="1">
      <alignment horizontal="right"/>
    </xf>
    <xf numFmtId="0" fontId="14" fillId="0" borderId="0" xfId="3" applyFont="1"/>
    <xf numFmtId="0" fontId="1" fillId="0" borderId="0" xfId="3" applyFont="1" applyAlignment="1">
      <alignment wrapText="1"/>
    </xf>
    <xf numFmtId="0" fontId="1" fillId="0" borderId="0" xfId="3" applyFont="1" applyAlignment="1">
      <alignment horizontal="left" vertical="center"/>
    </xf>
    <xf numFmtId="0" fontId="11" fillId="5" borderId="10" xfId="20" applyBorder="1" applyAlignment="1">
      <alignment horizontal="right" vertical="center"/>
    </xf>
    <xf numFmtId="0" fontId="4" fillId="5" borderId="11" xfId="21" applyFont="1" applyBorder="1" applyAlignment="1">
      <alignment vertical="center"/>
    </xf>
    <xf numFmtId="0" fontId="5" fillId="5" borderId="11" xfId="21" applyBorder="1" applyAlignment="1">
      <alignment vertical="center"/>
    </xf>
    <xf numFmtId="4" fontId="5" fillId="0" borderId="7" xfId="22"/>
    <xf numFmtId="0" fontId="4" fillId="3" borderId="4" xfId="23" applyAlignment="1">
      <alignment horizontal="left" vertical="center"/>
    </xf>
    <xf numFmtId="0" fontId="5" fillId="0" borderId="6" xfId="24"/>
    <xf numFmtId="0" fontId="4" fillId="4" borderId="12" xfId="14" applyBorder="1" applyAlignment="1">
      <alignment horizontal="left" vertical="center"/>
    </xf>
    <xf numFmtId="0" fontId="4" fillId="4" borderId="13" xfId="26" applyBorder="1" applyAlignment="1">
      <alignment horizontal="left" vertical="center"/>
    </xf>
    <xf numFmtId="4" fontId="4" fillId="4" borderId="14" xfId="15" applyBorder="1" applyAlignment="1">
      <alignment horizontal="right" vertical="center"/>
    </xf>
    <xf numFmtId="4" fontId="4" fillId="0" borderId="2" xfId="28" applyAlignment="1">
      <alignment horizontal="right" vertical="center"/>
    </xf>
    <xf numFmtId="164" fontId="5" fillId="0" borderId="0" xfId="31" applyAlignment="1" applyProtection="1">
      <alignment horizontal="left" vertical="center"/>
      <protection locked="0"/>
    </xf>
    <xf numFmtId="4" fontId="5" fillId="0" borderId="0" xfId="5" applyNumberFormat="1" applyAlignment="1" applyProtection="1">
      <alignment horizontal="left" vertical="center"/>
      <protection locked="0"/>
    </xf>
    <xf numFmtId="49" fontId="5" fillId="2" borderId="9" xfId="32" applyAlignment="1">
      <alignment horizontal="left"/>
    </xf>
    <xf numFmtId="49" fontId="5" fillId="2" borderId="9" xfId="32" applyAlignment="1">
      <alignment horizontal="center" vertical="center"/>
    </xf>
    <xf numFmtId="49" fontId="5" fillId="2" borderId="9" xfId="32" applyAlignment="1">
      <alignment horizontal="right"/>
    </xf>
    <xf numFmtId="49" fontId="5" fillId="2" borderId="8" xfId="33" applyAlignment="1">
      <alignment horizontal="left"/>
    </xf>
    <xf numFmtId="49" fontId="5" fillId="2" borderId="10" xfId="32" applyBorder="1" applyAlignment="1">
      <alignment horizontal="right"/>
    </xf>
    <xf numFmtId="49" fontId="5" fillId="2" borderId="13" xfId="34" applyAlignment="1">
      <alignment horizontal="left"/>
    </xf>
    <xf numFmtId="49" fontId="5" fillId="2" borderId="13" xfId="34" applyAlignment="1">
      <alignment horizontal="center"/>
    </xf>
    <xf numFmtId="49" fontId="5" fillId="2" borderId="13" xfId="34" applyAlignment="1">
      <alignment horizontal="right"/>
    </xf>
    <xf numFmtId="49" fontId="5" fillId="2" borderId="12" xfId="34" applyBorder="1" applyAlignment="1">
      <alignment horizontal="left"/>
    </xf>
    <xf numFmtId="49" fontId="5" fillId="2" borderId="14" xfId="35" applyAlignment="1">
      <alignment horizontal="right"/>
    </xf>
    <xf numFmtId="0" fontId="4" fillId="6" borderId="4" xfId="36" applyAlignment="1">
      <alignment horizontal="left" vertical="center"/>
    </xf>
    <xf numFmtId="0" fontId="21" fillId="7" borderId="1" xfId="37"/>
    <xf numFmtId="0" fontId="4" fillId="7" borderId="2" xfId="38"/>
    <xf numFmtId="0" fontId="4" fillId="3" borderId="0" xfId="39"/>
    <xf numFmtId="0" fontId="4" fillId="3" borderId="5" xfId="40"/>
    <xf numFmtId="0" fontId="4" fillId="3" borderId="6" xfId="41"/>
    <xf numFmtId="0" fontId="5" fillId="0" borderId="0" xfId="42"/>
    <xf numFmtId="0" fontId="5" fillId="0" borderId="0" xfId="42" applyAlignment="1">
      <alignment horizontal="center" vertical="center" wrapText="1"/>
    </xf>
    <xf numFmtId="0" fontId="5" fillId="0" borderId="0" xfId="43" applyNumberFormat="1" applyAlignment="1">
      <alignment horizontal="right" wrapText="1"/>
    </xf>
    <xf numFmtId="4" fontId="5" fillId="0" borderId="0" xfId="44" applyAlignment="1">
      <alignment horizontal="right" vertical="center" wrapText="1"/>
    </xf>
    <xf numFmtId="0" fontId="4" fillId="0" borderId="4" xfId="45" applyAlignment="1">
      <alignment horizontal="left" vertical="center"/>
    </xf>
    <xf numFmtId="0" fontId="4" fillId="0" borderId="1" xfId="46" applyAlignment="1">
      <alignment horizontal="right" vertical="center"/>
    </xf>
    <xf numFmtId="4" fontId="4" fillId="0" borderId="2" xfId="28" applyAlignment="1">
      <alignment horizontal="right" vertical="center" wrapText="1"/>
    </xf>
    <xf numFmtId="0" fontId="4" fillId="3" borderId="1" xfId="12" applyAlignment="1">
      <alignment wrapText="1"/>
    </xf>
    <xf numFmtId="4" fontId="4" fillId="3" borderId="2" xfId="13" applyAlignment="1">
      <alignment horizontal="right" vertical="center" wrapText="1"/>
    </xf>
    <xf numFmtId="4" fontId="4" fillId="0" borderId="0" xfId="28" applyBorder="1" applyAlignment="1">
      <alignment horizontal="right" vertical="center" wrapText="1"/>
    </xf>
    <xf numFmtId="1" fontId="5" fillId="0" borderId="5" xfId="47" applyAlignment="1">
      <alignment horizontal="center" vertical="center" wrapText="1"/>
    </xf>
    <xf numFmtId="4" fontId="5" fillId="0" borderId="6" xfId="48" applyAlignment="1">
      <alignment horizontal="right" vertical="center" wrapText="1"/>
    </xf>
    <xf numFmtId="0" fontId="4" fillId="4" borderId="4" xfId="26" applyAlignment="1">
      <alignment horizontal="left" vertical="center"/>
    </xf>
    <xf numFmtId="0" fontId="4" fillId="4" borderId="1" xfId="50" applyAlignment="1">
      <alignment horizontal="right" vertical="center"/>
    </xf>
    <xf numFmtId="49" fontId="5" fillId="2" borderId="8" xfId="32" applyBorder="1" applyAlignment="1"/>
    <xf numFmtId="49" fontId="5" fillId="2" borderId="10" xfId="32" applyBorder="1" applyAlignment="1"/>
    <xf numFmtId="49" fontId="5" fillId="2" borderId="12" xfId="34" applyBorder="1" applyAlignment="1"/>
    <xf numFmtId="49" fontId="5" fillId="2" borderId="14" xfId="34" applyBorder="1" applyAlignment="1"/>
    <xf numFmtId="49" fontId="5" fillId="2" borderId="8" xfId="34" applyBorder="1" applyAlignment="1"/>
    <xf numFmtId="49" fontId="5" fillId="2" borderId="10" xfId="34" applyBorder="1" applyAlignment="1"/>
    <xf numFmtId="49" fontId="5" fillId="2" borderId="5" xfId="34" applyBorder="1" applyAlignment="1"/>
    <xf numFmtId="49" fontId="5" fillId="2" borderId="6" xfId="34" applyBorder="1" applyAlignment="1"/>
    <xf numFmtId="3" fontId="13" fillId="0" borderId="7" xfId="53" applyAlignment="1">
      <alignment horizontal="right" vertical="center"/>
    </xf>
    <xf numFmtId="49" fontId="5" fillId="2" borderId="1" xfId="34" applyBorder="1" applyAlignment="1"/>
    <xf numFmtId="49" fontId="5" fillId="2" borderId="2" xfId="34" applyBorder="1" applyAlignment="1"/>
    <xf numFmtId="49" fontId="5" fillId="2" borderId="3" xfId="32" applyBorder="1" applyAlignment="1">
      <alignment horizontal="center"/>
    </xf>
    <xf numFmtId="0" fontId="1" fillId="0" borderId="9" xfId="3" applyFont="1" applyBorder="1" applyAlignment="1">
      <alignment wrapText="1"/>
    </xf>
    <xf numFmtId="0" fontId="1" fillId="0" borderId="13" xfId="3" applyFont="1" applyBorder="1" applyAlignment="1">
      <alignment wrapText="1"/>
    </xf>
    <xf numFmtId="0" fontId="29" fillId="0" borderId="13" xfId="3" applyFont="1" applyBorder="1"/>
    <xf numFmtId="0" fontId="3" fillId="0" borderId="0" xfId="3" applyFont="1" applyAlignment="1">
      <alignment horizontal="left" vertical="center" indent="2"/>
    </xf>
    <xf numFmtId="0" fontId="3" fillId="0" borderId="0" xfId="3" applyFont="1" applyAlignment="1">
      <alignment horizontal="left" vertical="center" indent="4"/>
    </xf>
    <xf numFmtId="0" fontId="34" fillId="0" borderId="0" xfId="3" applyFont="1"/>
    <xf numFmtId="0" fontId="20" fillId="0" borderId="0" xfId="0" applyFont="1" applyAlignment="1">
      <alignment vertical="center"/>
    </xf>
    <xf numFmtId="0" fontId="6" fillId="0" borderId="0" xfId="0" applyFont="1" applyAlignment="1">
      <alignment horizontal="right"/>
    </xf>
    <xf numFmtId="0" fontId="6" fillId="0" borderId="0" xfId="0" applyFont="1" applyAlignment="1">
      <alignment horizontal="center" vertical="center"/>
    </xf>
    <xf numFmtId="0" fontId="6" fillId="0" borderId="0" xfId="0" applyFont="1"/>
    <xf numFmtId="2" fontId="7" fillId="0" borderId="0" xfId="0" applyNumberFormat="1" applyFont="1"/>
    <xf numFmtId="0" fontId="8" fillId="0" borderId="0" xfId="0" applyFont="1"/>
    <xf numFmtId="0" fontId="9" fillId="0" borderId="0" xfId="0" applyFont="1"/>
    <xf numFmtId="2" fontId="6" fillId="0" borderId="0" xfId="0" applyNumberFormat="1" applyFont="1"/>
    <xf numFmtId="0" fontId="6" fillId="0" borderId="2" xfId="0" applyFont="1" applyBorder="1"/>
    <xf numFmtId="2" fontId="11" fillId="0" borderId="0" xfId="0" applyNumberFormat="1" applyFont="1"/>
    <xf numFmtId="0" fontId="11" fillId="0" borderId="0" xfId="0" applyFont="1"/>
    <xf numFmtId="0" fontId="6" fillId="0" borderId="2" xfId="0" applyFont="1" applyBorder="1" applyAlignment="1">
      <alignment horizontal="center"/>
    </xf>
    <xf numFmtId="2" fontId="11" fillId="0" borderId="0" xfId="0" applyNumberFormat="1" applyFont="1" applyAlignment="1">
      <alignment vertical="center"/>
    </xf>
    <xf numFmtId="14" fontId="11" fillId="0" borderId="0" xfId="0" applyNumberFormat="1" applyFont="1" applyAlignment="1">
      <alignment horizontal="left" vertical="center"/>
    </xf>
    <xf numFmtId="0" fontId="12" fillId="0" borderId="0" xfId="0" applyFont="1"/>
    <xf numFmtId="2" fontId="11" fillId="0" borderId="0" xfId="0" applyNumberFormat="1" applyFont="1" applyAlignment="1">
      <alignment horizontal="center"/>
    </xf>
    <xf numFmtId="0" fontId="11" fillId="0" borderId="0" xfId="0" applyFont="1" applyAlignment="1">
      <alignment horizontal="right" vertical="center"/>
    </xf>
    <xf numFmtId="39" fontId="11" fillId="0" borderId="0" xfId="0" applyNumberFormat="1" applyFont="1"/>
    <xf numFmtId="0" fontId="6" fillId="0" borderId="0" xfId="0" applyFont="1" applyAlignment="1">
      <alignment vertical="center"/>
    </xf>
    <xf numFmtId="0" fontId="17" fillId="0" borderId="0" xfId="0" applyFont="1"/>
    <xf numFmtId="0" fontId="12" fillId="0" borderId="0" xfId="0" applyFont="1" applyAlignment="1">
      <alignment horizontal="left" vertical="center"/>
    </xf>
    <xf numFmtId="0" fontId="0" fillId="0" borderId="0" xfId="0" applyAlignment="1">
      <alignment horizontal="left" vertical="center"/>
    </xf>
    <xf numFmtId="2" fontId="9" fillId="0" borderId="0" xfId="0" applyNumberFormat="1" applyFont="1" applyAlignment="1">
      <alignment vertical="center"/>
    </xf>
    <xf numFmtId="0" fontId="8" fillId="0" borderId="8" xfId="0" applyFont="1" applyBorder="1"/>
    <xf numFmtId="0" fontId="18" fillId="0" borderId="6" xfId="0" applyFont="1" applyBorder="1"/>
    <xf numFmtId="0" fontId="18" fillId="0" borderId="5" xfId="0" applyFont="1" applyBorder="1"/>
    <xf numFmtId="0" fontId="0" fillId="0" borderId="0" xfId="0" quotePrefix="1"/>
    <xf numFmtId="0" fontId="19" fillId="0" borderId="0" xfId="0" applyFont="1"/>
    <xf numFmtId="0" fontId="14" fillId="0" borderId="0" xfId="0" applyFont="1"/>
    <xf numFmtId="0" fontId="22" fillId="0" borderId="0" xfId="0" applyFont="1" applyAlignment="1">
      <alignment vertical="center"/>
    </xf>
    <xf numFmtId="2" fontId="5" fillId="0" borderId="0" xfId="64" applyAlignment="1">
      <alignment horizontal="right" wrapText="1"/>
    </xf>
    <xf numFmtId="1" fontId="12" fillId="0" borderId="5" xfId="0" applyNumberFormat="1" applyFont="1" applyBorder="1" applyAlignment="1">
      <alignment horizontal="center" vertical="center" wrapText="1"/>
    </xf>
    <xf numFmtId="4" fontId="12" fillId="0" borderId="6" xfId="0" applyNumberFormat="1" applyFont="1" applyBorder="1" applyAlignment="1">
      <alignment horizontal="right" vertical="center" wrapText="1"/>
    </xf>
    <xf numFmtId="0" fontId="0" fillId="0" borderId="0" xfId="0" applyAlignment="1">
      <alignment wrapText="1"/>
    </xf>
    <xf numFmtId="0" fontId="6" fillId="0" borderId="0" xfId="0" applyFont="1" applyAlignment="1">
      <alignment vertical="center" wrapText="1"/>
    </xf>
    <xf numFmtId="0" fontId="23" fillId="0" borderId="0" xfId="0" applyFont="1"/>
    <xf numFmtId="0" fontId="15" fillId="0" borderId="0" xfId="0" applyFont="1"/>
    <xf numFmtId="0" fontId="24" fillId="0" borderId="0" xfId="0" applyFont="1"/>
    <xf numFmtId="0" fontId="25" fillId="0" borderId="13" xfId="0" applyFont="1" applyBorder="1"/>
    <xf numFmtId="0" fontId="0" fillId="0" borderId="0" xfId="0" applyAlignment="1">
      <alignment horizontal="left" vertical="top"/>
    </xf>
    <xf numFmtId="0" fontId="27" fillId="0" borderId="0" xfId="56" applyFont="1"/>
    <xf numFmtId="49" fontId="5" fillId="2" borderId="11" xfId="32" applyBorder="1" applyAlignment="1">
      <alignment horizontal="right" wrapText="1"/>
    </xf>
    <xf numFmtId="49" fontId="5" fillId="2" borderId="11" xfId="32" applyBorder="1" applyAlignment="1">
      <alignment horizontal="right"/>
    </xf>
    <xf numFmtId="49" fontId="5" fillId="2" borderId="15" xfId="34" applyBorder="1" applyAlignment="1">
      <alignment horizontal="right" wrapText="1"/>
    </xf>
    <xf numFmtId="49" fontId="5" fillId="2" borderId="15" xfId="34" applyBorder="1" applyAlignment="1">
      <alignment horizontal="right"/>
    </xf>
    <xf numFmtId="0" fontId="5" fillId="6" borderId="3" xfId="36" applyFont="1" applyBorder="1" applyAlignment="1">
      <alignment horizontal="left" vertical="center" wrapText="1"/>
    </xf>
    <xf numFmtId="0" fontId="4" fillId="6" borderId="3" xfId="36" applyBorder="1" applyAlignment="1">
      <alignment horizontal="left" vertical="center"/>
    </xf>
    <xf numFmtId="0" fontId="5" fillId="0" borderId="0" xfId="42" applyAlignment="1">
      <alignment horizontal="right" wrapText="1"/>
    </xf>
    <xf numFmtId="4" fontId="5" fillId="0" borderId="7" xfId="76" applyAlignment="1">
      <alignment horizontal="right" vertical="center"/>
    </xf>
    <xf numFmtId="0" fontId="8" fillId="0" borderId="0" xfId="0" applyFont="1" applyAlignment="1">
      <alignment vertical="center"/>
    </xf>
    <xf numFmtId="0" fontId="30" fillId="0" borderId="0" xfId="0" applyFont="1"/>
    <xf numFmtId="0" fontId="31" fillId="0" borderId="0" xfId="0" applyFont="1" applyAlignment="1">
      <alignment wrapText="1"/>
    </xf>
    <xf numFmtId="0" fontId="31" fillId="0" borderId="0" xfId="0" applyFont="1"/>
    <xf numFmtId="0" fontId="7" fillId="0" borderId="0" xfId="0" applyFont="1"/>
    <xf numFmtId="172" fontId="11" fillId="0" borderId="0" xfId="0" applyNumberFormat="1" applyFont="1" applyAlignment="1">
      <alignment horizontal="left"/>
    </xf>
    <xf numFmtId="173" fontId="6" fillId="0" borderId="0" xfId="0" applyNumberFormat="1" applyFont="1"/>
    <xf numFmtId="4" fontId="16" fillId="0" borderId="7" xfId="70" applyAlignment="1">
      <alignment wrapText="1"/>
    </xf>
    <xf numFmtId="167" fontId="5" fillId="0" borderId="0" xfId="5" applyNumberFormat="1" applyAlignment="1" applyProtection="1">
      <alignment vertical="center"/>
      <protection locked="0"/>
    </xf>
    <xf numFmtId="49" fontId="5" fillId="2" borderId="8" xfId="60"/>
    <xf numFmtId="49" fontId="5" fillId="2" borderId="10" xfId="61" applyAlignment="1">
      <alignment horizontal="right" wrapText="1"/>
    </xf>
    <xf numFmtId="49" fontId="5" fillId="2" borderId="12" xfId="59" applyAlignment="1">
      <alignment horizontal="left"/>
    </xf>
    <xf numFmtId="1" fontId="5" fillId="0" borderId="5" xfId="47" applyAlignment="1">
      <alignment horizontal="center" vertical="center"/>
    </xf>
    <xf numFmtId="4" fontId="5" fillId="0" borderId="6" xfId="48" applyAlignment="1">
      <alignment horizontal="right" vertical="center"/>
    </xf>
    <xf numFmtId="168" fontId="6" fillId="0" borderId="0" xfId="0" applyNumberFormat="1" applyFont="1" applyAlignment="1">
      <alignment vertical="center"/>
    </xf>
    <xf numFmtId="174" fontId="6" fillId="0" borderId="0" xfId="0" applyNumberFormat="1" applyFont="1" applyAlignment="1">
      <alignment vertical="center"/>
    </xf>
    <xf numFmtId="49" fontId="5" fillId="2" borderId="11" xfId="58"/>
    <xf numFmtId="49" fontId="5" fillId="2" borderId="15" xfId="57" applyAlignment="1">
      <alignment horizontal="right"/>
    </xf>
    <xf numFmtId="169" fontId="5" fillId="0" borderId="7" xfId="52" applyAlignment="1">
      <alignment horizontal="right" vertical="center"/>
    </xf>
    <xf numFmtId="170" fontId="5" fillId="0" borderId="7" xfId="54" applyAlignment="1">
      <alignment horizontal="right" vertical="center"/>
    </xf>
    <xf numFmtId="171" fontId="1" fillId="0" borderId="9" xfId="3" applyNumberFormat="1" applyFont="1" applyBorder="1" applyAlignment="1">
      <alignment horizontal="center" wrapText="1"/>
    </xf>
    <xf numFmtId="4" fontId="4" fillId="3" borderId="3" xfId="85"/>
    <xf numFmtId="175" fontId="6" fillId="0" borderId="0" xfId="0" applyNumberFormat="1" applyFont="1"/>
  </cellXfs>
  <cellStyles count="93">
    <cellStyle name="color hdr btm" xfId="34" xr:uid="{00000000-0005-0000-0000-000022000000}"/>
    <cellStyle name="color hdr cent btm" xfId="57" xr:uid="{00000000-0005-0000-0000-00003B000000}"/>
    <cellStyle name="color hdr cent top" xfId="58" xr:uid="{00000000-0005-0000-0000-00003C000000}"/>
    <cellStyle name="color hdr lft btm" xfId="59" xr:uid="{00000000-0005-0000-0000-00003D000000}"/>
    <cellStyle name="color hdr lft top" xfId="60" xr:uid="{00000000-0005-0000-0000-00003E000000}"/>
    <cellStyle name="color hdr lft top 2" xfId="33" xr:uid="{00000000-0005-0000-0000-000021000000}"/>
    <cellStyle name="color hdr rt btm" xfId="35" xr:uid="{00000000-0005-0000-0000-000023000000}"/>
    <cellStyle name="color hdr rt top" xfId="61" xr:uid="{00000000-0005-0000-0000-00003F000000}"/>
    <cellStyle name="color hdr top" xfId="32" xr:uid="{00000000-0005-0000-0000-000020000000}"/>
    <cellStyle name="color hdr top 2" xfId="62" xr:uid="{00000000-0005-0000-0000-000040000000}"/>
    <cellStyle name="Comma 2" xfId="19" xr:uid="{00000000-0005-0000-0000-000013000000}"/>
    <cellStyle name="CQ" xfId="63" xr:uid="{00000000-0005-0000-0000-000041000000}"/>
    <cellStyle name="discount percent" xfId="64" xr:uid="{00000000-0005-0000-0000-000042000000}"/>
    <cellStyle name="Env kWh Norm" xfId="53" xr:uid="{00000000-0005-0000-0000-000035000000}"/>
    <cellStyle name="Env kWh Prel" xfId="65" xr:uid="{00000000-0005-0000-0000-000043000000}"/>
    <cellStyle name="Env MT Norm" xfId="54" xr:uid="{00000000-0005-0000-0000-000036000000}"/>
    <cellStyle name="Env MT Prel" xfId="66" xr:uid="{00000000-0005-0000-0000-000044000000}"/>
    <cellStyle name="Env W Norm" xfId="52" xr:uid="{00000000-0005-0000-0000-000034000000}"/>
    <cellStyle name="Env W Prel" xfId="67" xr:uid="{00000000-0005-0000-0000-000045000000}"/>
    <cellStyle name="Ext Total" xfId="68" xr:uid="{00000000-0005-0000-0000-000046000000}"/>
    <cellStyle name="grp total right" xfId="69" xr:uid="{00000000-0005-0000-0000-000047000000}"/>
    <cellStyle name="Hyperlink" xfId="56" builtinId="8"/>
    <cellStyle name="Hyperlink 2" xfId="51" xr:uid="{00000000-0005-0000-0000-000033000000}"/>
    <cellStyle name="Info Label" xfId="4" xr:uid="{00000000-0005-0000-0000-000004000000}"/>
    <cellStyle name="Info Value" xfId="5" xr:uid="{00000000-0005-0000-0000-000005000000}"/>
    <cellStyle name="Label" xfId="1" xr:uid="{00000000-0005-0000-0000-000001000000}"/>
    <cellStyle name="lhr summary CQs" xfId="70" xr:uid="{00000000-0005-0000-0000-000048000000}"/>
    <cellStyle name="Normal" xfId="0" builtinId="0"/>
    <cellStyle name="Normal 2" xfId="3" xr:uid="{00000000-0005-0000-0000-000003000000}"/>
    <cellStyle name="Normal 2 2" xfId="18" xr:uid="{00000000-0005-0000-0000-000012000000}"/>
    <cellStyle name="Normal 2 3" xfId="90" xr:uid="{00000000-0005-0000-0000-00005C000000}"/>
    <cellStyle name="Normal 2 4" xfId="92" xr:uid="{00000000-0005-0000-0000-00005E000000}"/>
    <cellStyle name="Normal 4 2" xfId="71" xr:uid="{00000000-0005-0000-0000-000049000000}"/>
    <cellStyle name="Normal 4 2 2" xfId="49" xr:uid="{00000000-0005-0000-0000-000031000000}"/>
    <cellStyle name="Normal 4 2 2 2" xfId="91" xr:uid="{00000000-0005-0000-0000-00005D000000}"/>
    <cellStyle name="pcr hdr" xfId="36" xr:uid="{00000000-0005-0000-0000-000024000000}"/>
    <cellStyle name="pcr hdr cent" xfId="72" xr:uid="{00000000-0005-0000-0000-00004A000000}"/>
    <cellStyle name="pcr hdr lft" xfId="37" xr:uid="{00000000-0005-0000-0000-000025000000}"/>
    <cellStyle name="pcr hdr rt" xfId="38" xr:uid="{00000000-0005-0000-0000-000026000000}"/>
    <cellStyle name="Power_Prelim" xfId="73" xr:uid="{00000000-0005-0000-0000-00004B000000}"/>
    <cellStyle name="Prelim Power" xfId="74" xr:uid="{00000000-0005-0000-0000-00004C000000}"/>
    <cellStyle name="Prelim Table Cell" xfId="75" xr:uid="{00000000-0005-0000-0000-00004D000000}"/>
    <cellStyle name="price column" xfId="48" xr:uid="{00000000-0005-0000-0000-000030000000}"/>
    <cellStyle name="price column cent" xfId="76" xr:uid="{00000000-0005-0000-0000-00004E000000}"/>
    <cellStyle name="prj net label" xfId="14" xr:uid="{00000000-0005-0000-0000-00000E000000}"/>
    <cellStyle name="product" xfId="42" xr:uid="{00000000-0005-0000-0000-00002A000000}"/>
    <cellStyle name="pwr" xfId="77" xr:uid="{00000000-0005-0000-0000-00004F000000}"/>
    <cellStyle name="pwr column" xfId="43" xr:uid="{00000000-0005-0000-0000-00002B000000}"/>
    <cellStyle name="pwr lft" xfId="78" xr:uid="{00000000-0005-0000-0000-000050000000}"/>
    <cellStyle name="pwr rt" xfId="79" xr:uid="{00000000-0005-0000-0000-000051000000}"/>
    <cellStyle name="qty column" xfId="47" xr:uid="{00000000-0005-0000-0000-00002F000000}"/>
    <cellStyle name="qty column cent" xfId="80" xr:uid="{00000000-0005-0000-0000-000052000000}"/>
    <cellStyle name="sec hdr" xfId="39" xr:uid="{00000000-0005-0000-0000-000027000000}"/>
    <cellStyle name="sec hdr cent" xfId="81" xr:uid="{00000000-0005-0000-0000-000053000000}"/>
    <cellStyle name="sec hdr lft" xfId="40" xr:uid="{00000000-0005-0000-0000-000028000000}"/>
    <cellStyle name="sec hdr rt" xfId="41" xr:uid="{00000000-0005-0000-0000-000029000000}"/>
    <cellStyle name="simple-currency" xfId="44" xr:uid="{00000000-0005-0000-0000-00002C000000}"/>
    <cellStyle name="Smry hdr" xfId="8" xr:uid="{00000000-0005-0000-0000-000008000000}"/>
    <cellStyle name="Smry rt" xfId="9" xr:uid="{00000000-0005-0000-0000-000009000000}"/>
    <cellStyle name="smry site hdr" xfId="30" xr:uid="{00000000-0005-0000-0000-00001E000000}"/>
    <cellStyle name="sub ttl" xfId="45" xr:uid="{00000000-0005-0000-0000-00002D000000}"/>
    <cellStyle name="sub ttl cent" xfId="82" xr:uid="{00000000-0005-0000-0000-000054000000}"/>
    <cellStyle name="sub ttl lft" xfId="46" xr:uid="{00000000-0005-0000-0000-00002E000000}"/>
    <cellStyle name="sub ttl rt" xfId="28" xr:uid="{00000000-0005-0000-0000-00001C000000}"/>
    <cellStyle name="sum cur lite" xfId="25" xr:uid="{00000000-0005-0000-0000-000019000000}"/>
    <cellStyle name="summary currency" xfId="29" xr:uid="{00000000-0005-0000-0000-00001D000000}"/>
    <cellStyle name="summary date" xfId="7" xr:uid="{00000000-0005-0000-0000-000007000000}"/>
    <cellStyle name="summary left border" xfId="10" xr:uid="{00000000-0005-0000-0000-00000A000000}"/>
    <cellStyle name="summary lft" xfId="6" xr:uid="{00000000-0005-0000-0000-000006000000}"/>
    <cellStyle name="summary quote" xfId="21" xr:uid="{00000000-0005-0000-0000-000015000000}"/>
    <cellStyle name="Summary right" xfId="20" xr:uid="{00000000-0005-0000-0000-000014000000}"/>
    <cellStyle name="summary right border" xfId="24" xr:uid="{00000000-0005-0000-0000-000018000000}"/>
    <cellStyle name="summary site" xfId="22" xr:uid="{00000000-0005-0000-0000-000016000000}"/>
    <cellStyle name="summary site fill" xfId="11" xr:uid="{00000000-0005-0000-0000-00000B000000}"/>
    <cellStyle name="summary site hdr" xfId="27" xr:uid="{00000000-0005-0000-0000-00001B000000}"/>
    <cellStyle name="TBD Table Cell" xfId="83" xr:uid="{00000000-0005-0000-0000-000055000000}"/>
    <cellStyle name="TBD Text" xfId="55" xr:uid="{00000000-0005-0000-0000-000037000000}"/>
    <cellStyle name="total net left" xfId="16" xr:uid="{00000000-0005-0000-0000-000010000000}"/>
    <cellStyle name="total net right" xfId="17" xr:uid="{00000000-0005-0000-0000-000011000000}"/>
    <cellStyle name="ttl" xfId="26" xr:uid="{00000000-0005-0000-0000-00001A000000}"/>
    <cellStyle name="ttl cent" xfId="84" xr:uid="{00000000-0005-0000-0000-000056000000}"/>
    <cellStyle name="ttl lft" xfId="50" xr:uid="{00000000-0005-0000-0000-000032000000}"/>
    <cellStyle name="ttl net" xfId="23" xr:uid="{00000000-0005-0000-0000-000017000000}"/>
    <cellStyle name="ttl net cent" xfId="85" xr:uid="{00000000-0005-0000-0000-000057000000}"/>
    <cellStyle name="ttl net cent preliminary" xfId="86" xr:uid="{00000000-0005-0000-0000-000058000000}"/>
    <cellStyle name="ttl net lft" xfId="12" xr:uid="{00000000-0005-0000-0000-00000C000000}"/>
    <cellStyle name="ttl net lft preliminary" xfId="87" xr:uid="{00000000-0005-0000-0000-000059000000}"/>
    <cellStyle name="ttl net rt" xfId="13" xr:uid="{00000000-0005-0000-0000-00000D000000}"/>
    <cellStyle name="ttl net rt preliminary" xfId="88" xr:uid="{00000000-0005-0000-0000-00005A000000}"/>
    <cellStyle name="ttl rt" xfId="15" xr:uid="{00000000-0005-0000-0000-00000F000000}"/>
    <cellStyle name="Value" xfId="2" xr:uid="{00000000-0005-0000-0000-000002000000}"/>
    <cellStyle name="value-currency-total" xfId="89" xr:uid="{00000000-0005-0000-0000-00005B000000}"/>
    <cellStyle name="value-date" xfId="31" xr:uid="{00000000-0005-0000-0000-00001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143000" cy="428625"/>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1143000" cy="428625"/>
    <xdr:pic>
      <xdr:nvPicPr>
        <xdr:cNvPr id="2" name="Image 1" descr="Pictur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0</xdr:row>
      <xdr:rowOff>0</xdr:rowOff>
    </xdr:from>
    <xdr:ext cx="1143000" cy="428625"/>
    <xdr:pic>
      <xdr:nvPicPr>
        <xdr:cNvPr id="2" name="Image 1" descr="Picture">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0</xdr:row>
      <xdr:rowOff>0</xdr:rowOff>
    </xdr:from>
    <xdr:ext cx="1143000" cy="428625"/>
    <xdr:pic>
      <xdr:nvPicPr>
        <xdr:cNvPr id="2" name="Image 1" descr="Picture">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0</xdr:row>
      <xdr:rowOff>0</xdr:rowOff>
    </xdr:from>
    <xdr:ext cx="1143000" cy="428625"/>
    <xdr:pic>
      <xdr:nvPicPr>
        <xdr:cNvPr id="2" name="Image 1" descr="Picture">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iena.com/general/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4"/>
  <sheetViews>
    <sheetView showGridLines="0" showZeros="0" workbookViewId="0"/>
  </sheetViews>
  <sheetFormatPr defaultRowHeight="15.5" x14ac:dyDescent="0.35"/>
  <cols>
    <col min="1" max="1" width="23.5" customWidth="1"/>
    <col min="2" max="2" width="33" customWidth="1"/>
    <col min="3" max="3" width="29.58203125" customWidth="1"/>
    <col min="4" max="4" width="27.33203125" customWidth="1"/>
    <col min="5" max="56" width="15.83203125" customWidth="1"/>
    <col min="57" max="57" width="5.83203125" customWidth="1"/>
    <col min="58" max="58" width="12.83203125" customWidth="1"/>
    <col min="59" max="59" width="5.83203125" customWidth="1"/>
    <col min="60" max="60" width="12.83203125" customWidth="1"/>
    <col min="61" max="61" width="5.83203125" customWidth="1"/>
    <col min="62" max="62" width="12.83203125" customWidth="1"/>
    <col min="63" max="63" width="5.83203125" customWidth="1"/>
    <col min="64" max="64" width="12.83203125" customWidth="1"/>
    <col min="65" max="65" width="5.83203125" customWidth="1"/>
    <col min="66" max="66" width="12.83203125" customWidth="1"/>
    <col min="67" max="67" width="5.83203125" customWidth="1"/>
    <col min="68" max="68" width="12.83203125" customWidth="1"/>
    <col min="69" max="69" width="5.83203125" customWidth="1"/>
    <col min="70" max="70" width="12.83203125" customWidth="1"/>
    <col min="71" max="71" width="5.83203125" customWidth="1"/>
    <col min="72" max="72" width="12.83203125" customWidth="1"/>
    <col min="73" max="73" width="5.83203125" customWidth="1"/>
    <col min="74" max="74" width="12.83203125" customWidth="1"/>
    <col min="75" max="75" width="5.83203125" customWidth="1"/>
    <col min="76" max="76" width="12.83203125" customWidth="1"/>
    <col min="77" max="77" width="5.83203125" customWidth="1"/>
    <col min="78" max="78" width="12.83203125" customWidth="1"/>
    <col min="79" max="79" width="15.83203125" customWidth="1"/>
  </cols>
  <sheetData>
    <row r="1" spans="1:10" s="4" customFormat="1" ht="15" customHeight="1" x14ac:dyDescent="0.35">
      <c r="A1" s="1" t="s">
        <v>0</v>
      </c>
      <c r="B1" s="2" t="s">
        <v>1</v>
      </c>
      <c r="C1" s="83"/>
      <c r="D1" s="84"/>
      <c r="E1" s="85"/>
      <c r="F1" s="86" t="s">
        <v>2</v>
      </c>
      <c r="G1" s="85"/>
      <c r="H1" s="87"/>
      <c r="I1" s="87"/>
      <c r="J1" s="87"/>
    </row>
    <row r="2" spans="1:10" ht="20.149999999999999" customHeight="1" x14ac:dyDescent="0.35">
      <c r="A2" s="1" t="s">
        <v>3</v>
      </c>
      <c r="B2" s="2"/>
      <c r="C2" s="84"/>
      <c r="D2" s="85"/>
      <c r="E2" s="85"/>
      <c r="F2" s="86" t="s">
        <v>4</v>
      </c>
      <c r="G2" s="85"/>
      <c r="H2" s="87"/>
      <c r="I2" s="87"/>
      <c r="J2" s="87"/>
    </row>
    <row r="3" spans="1:10" x14ac:dyDescent="0.35">
      <c r="A3" s="5" t="s">
        <v>5</v>
      </c>
      <c r="B3" s="6"/>
      <c r="F3" s="86" t="s">
        <v>6</v>
      </c>
    </row>
    <row r="4" spans="1:10" x14ac:dyDescent="0.35">
      <c r="A4" s="1" t="s">
        <v>7</v>
      </c>
      <c r="B4" s="2" t="s">
        <v>8</v>
      </c>
      <c r="C4" s="85"/>
      <c r="D4" s="85"/>
      <c r="E4" s="85"/>
      <c r="G4" s="85"/>
      <c r="H4" s="87"/>
      <c r="I4" s="87"/>
      <c r="J4" s="87"/>
    </row>
    <row r="5" spans="1:10" x14ac:dyDescent="0.35">
      <c r="A5" s="1" t="s">
        <v>9</v>
      </c>
      <c r="B5" s="2" t="s">
        <v>10</v>
      </c>
      <c r="C5" s="88"/>
      <c r="D5" s="85"/>
      <c r="E5" s="85"/>
      <c r="F5" s="89"/>
      <c r="G5" s="85"/>
      <c r="H5" s="87"/>
      <c r="I5" s="87"/>
      <c r="J5" s="87"/>
    </row>
    <row r="6" spans="1:10" x14ac:dyDescent="0.35">
      <c r="A6" s="1" t="s">
        <v>11</v>
      </c>
      <c r="B6" s="2" t="s">
        <v>12</v>
      </c>
      <c r="C6" s="88"/>
      <c r="D6" s="85"/>
      <c r="E6" s="85"/>
      <c r="F6" s="89"/>
      <c r="G6" s="85"/>
      <c r="H6" s="87"/>
      <c r="I6" s="87"/>
      <c r="J6" s="87"/>
    </row>
    <row r="7" spans="1:10" x14ac:dyDescent="0.35">
      <c r="A7" s="1" t="s">
        <v>13</v>
      </c>
      <c r="B7" s="2"/>
      <c r="C7" s="85"/>
      <c r="D7" s="85"/>
      <c r="E7" s="85"/>
      <c r="F7" s="89"/>
      <c r="G7" s="85"/>
      <c r="H7" s="87"/>
      <c r="I7" s="87"/>
      <c r="J7" s="87"/>
    </row>
    <row r="8" spans="1:10" x14ac:dyDescent="0.35">
      <c r="A8" s="1" t="s">
        <v>14</v>
      </c>
      <c r="B8" s="2"/>
      <c r="C8" s="85"/>
      <c r="D8" s="85"/>
      <c r="E8" s="85"/>
      <c r="F8" s="89"/>
      <c r="G8" s="85"/>
      <c r="H8" s="87"/>
      <c r="I8" s="87"/>
      <c r="J8" s="87"/>
    </row>
    <row r="9" spans="1:10" x14ac:dyDescent="0.35">
      <c r="A9" s="1" t="s">
        <v>15</v>
      </c>
      <c r="B9" s="2" t="s">
        <v>16</v>
      </c>
      <c r="C9" s="85"/>
      <c r="D9" s="85"/>
      <c r="E9" s="85"/>
      <c r="F9" s="89"/>
      <c r="G9" s="85"/>
      <c r="H9" s="87"/>
      <c r="I9" s="87"/>
      <c r="J9" s="87"/>
    </row>
    <row r="10" spans="1:10" x14ac:dyDescent="0.35">
      <c r="A10" s="1"/>
      <c r="B10" s="2"/>
      <c r="C10" s="85"/>
      <c r="D10" s="85"/>
      <c r="E10" s="85"/>
      <c r="F10" s="89"/>
      <c r="G10" s="85"/>
      <c r="H10" s="87"/>
      <c r="I10" s="87"/>
      <c r="J10" s="87"/>
    </row>
    <row r="11" spans="1:10" ht="16.5" customHeight="1" thickBot="1" x14ac:dyDescent="0.4">
      <c r="A11" s="85"/>
      <c r="B11" s="7" t="s">
        <v>17</v>
      </c>
      <c r="C11" s="90"/>
      <c r="F11" s="91"/>
      <c r="G11" s="92"/>
      <c r="H11" s="87"/>
      <c r="I11" s="87"/>
      <c r="J11" s="87"/>
    </row>
    <row r="12" spans="1:10" ht="16.5" customHeight="1" thickBot="1" x14ac:dyDescent="0.4">
      <c r="A12" s="85"/>
      <c r="B12" s="7" t="s">
        <v>12</v>
      </c>
      <c r="C12" s="93"/>
      <c r="F12" s="94"/>
      <c r="G12" s="95"/>
      <c r="H12" s="87"/>
      <c r="I12" s="87"/>
      <c r="J12" s="87"/>
    </row>
    <row r="13" spans="1:10" ht="16.5" customHeight="1" thickBot="1" x14ac:dyDescent="0.4">
      <c r="A13" s="85"/>
      <c r="B13" s="7" t="s">
        <v>18</v>
      </c>
      <c r="C13" s="8" t="s">
        <v>19</v>
      </c>
      <c r="F13" s="94"/>
      <c r="G13" s="95"/>
      <c r="H13" s="87"/>
      <c r="I13" s="87"/>
      <c r="J13" s="87"/>
    </row>
    <row r="14" spans="1:10" ht="16.5" customHeight="1" thickBot="1" x14ac:dyDescent="0.4">
      <c r="A14" s="85"/>
      <c r="B14" s="7" t="s">
        <v>20</v>
      </c>
      <c r="C14" s="9">
        <v>45202</v>
      </c>
      <c r="G14" s="85"/>
      <c r="H14" s="87"/>
      <c r="I14" s="87"/>
      <c r="J14" s="87"/>
    </row>
    <row r="15" spans="1:10" ht="16.5" customHeight="1" thickBot="1" x14ac:dyDescent="0.4">
      <c r="A15" s="96"/>
      <c r="B15" s="10" t="s">
        <v>21</v>
      </c>
      <c r="C15" s="11" t="s">
        <v>22</v>
      </c>
      <c r="D15" s="11" t="s">
        <v>22</v>
      </c>
      <c r="G15" s="97"/>
      <c r="I15" s="87"/>
      <c r="J15" s="87"/>
    </row>
    <row r="16" spans="1:10" ht="16.5" customHeight="1" thickBot="1" x14ac:dyDescent="0.4">
      <c r="A16" s="96"/>
      <c r="B16" s="12" t="s">
        <v>23</v>
      </c>
      <c r="C16" s="13">
        <f>SUM(gp_3801_total)</f>
        <v>1741500</v>
      </c>
      <c r="D16" s="13">
        <f t="shared" ref="D16:D22" si="0">C16-0</f>
        <v>1741500</v>
      </c>
      <c r="G16" s="97"/>
      <c r="H16" s="87"/>
      <c r="I16" s="87"/>
      <c r="J16" s="87"/>
    </row>
    <row r="17" spans="1:10" ht="16.5" customHeight="1" thickBot="1" x14ac:dyDescent="0.4">
      <c r="A17" s="96"/>
      <c r="B17" s="12" t="s">
        <v>24</v>
      </c>
      <c r="C17" s="13">
        <f>SUM(gp_3802_total)</f>
        <v>192000</v>
      </c>
      <c r="D17" s="13">
        <f t="shared" si="0"/>
        <v>192000</v>
      </c>
      <c r="G17" s="97"/>
      <c r="H17" s="87"/>
      <c r="I17" s="87"/>
      <c r="J17" s="87"/>
    </row>
    <row r="18" spans="1:10" x14ac:dyDescent="0.35">
      <c r="A18" s="96"/>
      <c r="B18" s="12" t="s">
        <v>25</v>
      </c>
      <c r="C18" s="13">
        <f>SUM(gp_5164_total)</f>
        <v>596182.6</v>
      </c>
      <c r="D18" s="13">
        <f t="shared" si="0"/>
        <v>596182.6</v>
      </c>
      <c r="G18" s="97"/>
      <c r="H18" s="87"/>
      <c r="I18" s="87"/>
      <c r="J18" s="87"/>
    </row>
    <row r="19" spans="1:10" x14ac:dyDescent="0.35">
      <c r="A19" s="96"/>
      <c r="B19" s="12" t="s">
        <v>26</v>
      </c>
      <c r="C19" s="13">
        <f>SUM(gp_8110_total)</f>
        <v>80922.58</v>
      </c>
      <c r="D19" s="13">
        <f t="shared" si="0"/>
        <v>80922.58</v>
      </c>
      <c r="G19" s="97"/>
      <c r="H19" s="87"/>
      <c r="I19" s="87"/>
      <c r="J19" s="87"/>
    </row>
    <row r="20" spans="1:10" ht="16.5" customHeight="1" thickBot="1" x14ac:dyDescent="0.4">
      <c r="A20" s="96"/>
      <c r="B20" s="12" t="s">
        <v>27</v>
      </c>
      <c r="C20" s="13">
        <f>SUM(gp_mcp_total)</f>
        <v>83075.710000000006</v>
      </c>
      <c r="D20" s="13">
        <f t="shared" si="0"/>
        <v>83075.710000000006</v>
      </c>
      <c r="G20" s="97"/>
      <c r="H20" s="87"/>
      <c r="I20" s="87"/>
      <c r="J20" s="87"/>
    </row>
    <row r="21" spans="1:10" ht="16.5" customHeight="1" thickBot="1" x14ac:dyDescent="0.4">
      <c r="A21" s="96"/>
      <c r="B21" s="12" t="s">
        <v>28</v>
      </c>
      <c r="C21" s="13">
        <f>SUM(gp_sd_edge_ops_manager_total)</f>
        <v>6000</v>
      </c>
      <c r="D21" s="13">
        <f t="shared" si="0"/>
        <v>6000</v>
      </c>
      <c r="G21" s="97"/>
      <c r="H21" s="87"/>
      <c r="I21" s="87"/>
      <c r="J21" s="87"/>
    </row>
    <row r="22" spans="1:10" x14ac:dyDescent="0.35">
      <c r="A22" s="96"/>
      <c r="B22" s="12" t="s">
        <v>29</v>
      </c>
      <c r="C22" s="13">
        <f>SUM(gp_sd_edge_vbng_total)</f>
        <v>152585</v>
      </c>
      <c r="D22" s="13">
        <f t="shared" si="0"/>
        <v>152585</v>
      </c>
      <c r="G22" s="97"/>
      <c r="H22" s="87"/>
      <c r="I22" s="87"/>
      <c r="J22" s="87"/>
    </row>
    <row r="23" spans="1:10" x14ac:dyDescent="0.35">
      <c r="A23" s="96"/>
      <c r="B23" s="14" t="s">
        <v>30</v>
      </c>
      <c r="C23" s="15">
        <f>SUM(C16:C22)</f>
        <v>2852265.89</v>
      </c>
      <c r="D23" s="15">
        <f>SUM(D16:D22)</f>
        <v>2852265.89</v>
      </c>
      <c r="G23" s="85"/>
      <c r="H23" s="87"/>
      <c r="I23" s="87"/>
      <c r="J23" s="87"/>
    </row>
    <row r="24" spans="1:10" ht="16.5" customHeight="1" thickBot="1" x14ac:dyDescent="0.4">
      <c r="A24" s="96"/>
      <c r="B24" s="136"/>
      <c r="C24" s="98"/>
      <c r="D24" s="92"/>
      <c r="E24" s="99"/>
      <c r="G24" s="85"/>
      <c r="H24" s="87"/>
      <c r="I24" s="87"/>
      <c r="J24" s="87"/>
    </row>
    <row r="25" spans="1:10" ht="20.149999999999999" customHeight="1" thickBot="1" x14ac:dyDescent="0.4">
      <c r="A25" s="96"/>
      <c r="B25" s="10" t="s">
        <v>31</v>
      </c>
      <c r="C25" s="11" t="s">
        <v>22</v>
      </c>
      <c r="D25" s="11" t="s">
        <v>22</v>
      </c>
      <c r="G25" s="97"/>
      <c r="I25" s="87"/>
      <c r="J25" s="87"/>
    </row>
    <row r="26" spans="1:10" ht="17.149999999999999" customHeight="1" x14ac:dyDescent="0.35">
      <c r="A26" s="96"/>
      <c r="B26" s="12" t="s">
        <v>32</v>
      </c>
      <c r="C26" s="13">
        <f>SUM(gp_sv_design_audit___oper_svc_poc_total)</f>
        <v>25039.09</v>
      </c>
      <c r="D26" s="13">
        <f>C26-0</f>
        <v>25039.09</v>
      </c>
      <c r="G26" s="85"/>
      <c r="H26" s="87"/>
      <c r="I26" s="87"/>
      <c r="J26" s="87"/>
    </row>
    <row r="27" spans="1:10" x14ac:dyDescent="0.35">
      <c r="A27" s="96"/>
      <c r="B27" s="12" t="s">
        <v>33</v>
      </c>
      <c r="C27" s="13">
        <f>SUM(gp_sv_maintain_services_total)</f>
        <v>188085</v>
      </c>
      <c r="D27" s="13">
        <f>C27-0</f>
        <v>188085</v>
      </c>
      <c r="G27" s="85"/>
      <c r="H27" s="87"/>
      <c r="I27" s="87"/>
      <c r="J27" s="87"/>
    </row>
    <row r="28" spans="1:10" ht="16.5" customHeight="1" thickBot="1" x14ac:dyDescent="0.4">
      <c r="A28" s="96"/>
      <c r="B28" s="14" t="s">
        <v>34</v>
      </c>
      <c r="C28" s="15">
        <f>SUM(C26:C27)</f>
        <v>213124.09</v>
      </c>
      <c r="D28" s="15">
        <f>SUM(D26:D27)</f>
        <v>213124.09</v>
      </c>
      <c r="G28" s="85"/>
      <c r="H28" s="87"/>
      <c r="I28" s="87"/>
      <c r="J28" s="87"/>
    </row>
    <row r="29" spans="1:10" ht="16.5" customHeight="1" thickBot="1" x14ac:dyDescent="0.4">
      <c r="A29" s="96"/>
      <c r="F29" s="89"/>
      <c r="G29" s="85"/>
      <c r="H29" s="87"/>
      <c r="I29" s="87"/>
      <c r="J29" s="87"/>
    </row>
    <row r="30" spans="1:10" x14ac:dyDescent="0.35">
      <c r="A30" s="96"/>
      <c r="B30" s="16" t="s">
        <v>35</v>
      </c>
      <c r="C30" s="17">
        <f>IFERROR(totalhw,0)+IFERROR(totalsv,0)</f>
        <v>3065389.9800000004</v>
      </c>
      <c r="F30" s="89"/>
      <c r="G30" s="85"/>
      <c r="H30" s="87"/>
      <c r="I30" s="87"/>
      <c r="J30" s="87"/>
    </row>
    <row r="32" spans="1:10" ht="16.5" customHeight="1" thickBot="1" x14ac:dyDescent="0.4">
      <c r="G32" s="137"/>
      <c r="H32" s="87"/>
      <c r="I32" s="87"/>
      <c r="J32" s="87"/>
    </row>
    <row r="33" spans="1:10" ht="16.5" customHeight="1" thickBot="1" x14ac:dyDescent="0.4">
      <c r="G33" s="85"/>
      <c r="H33" s="87"/>
      <c r="I33" s="87"/>
      <c r="J33" s="87"/>
    </row>
    <row r="34" spans="1:10" ht="16.5" customHeight="1" thickBot="1" x14ac:dyDescent="0.4">
      <c r="G34" s="85"/>
      <c r="H34" s="87"/>
      <c r="I34" s="87"/>
      <c r="J34" s="87"/>
    </row>
    <row r="35" spans="1:10" ht="16.5" customHeight="1" thickBot="1" x14ac:dyDescent="0.4">
      <c r="G35" s="85"/>
      <c r="H35" s="87"/>
      <c r="I35" s="87"/>
      <c r="J35" s="87"/>
    </row>
    <row r="36" spans="1:10" ht="16.5" customHeight="1" thickBot="1" x14ac:dyDescent="0.4">
      <c r="G36" s="137"/>
      <c r="H36" s="87"/>
      <c r="I36" s="87"/>
      <c r="J36" s="87"/>
    </row>
    <row r="37" spans="1:10" ht="16.5" customHeight="1" thickBot="1" x14ac:dyDescent="0.4">
      <c r="G37" s="137"/>
      <c r="H37" s="87"/>
      <c r="I37" s="87"/>
      <c r="J37" s="87"/>
    </row>
    <row r="38" spans="1:10" x14ac:dyDescent="0.35">
      <c r="G38" s="137"/>
      <c r="H38" s="87"/>
      <c r="I38" s="87"/>
      <c r="J38" s="87"/>
    </row>
    <row r="39" spans="1:10" x14ac:dyDescent="0.35">
      <c r="G39" s="85"/>
      <c r="H39" s="87"/>
      <c r="I39" s="87"/>
      <c r="J39" s="87"/>
    </row>
    <row r="40" spans="1:10" s="4" customFormat="1" x14ac:dyDescent="0.35">
      <c r="A40"/>
      <c r="B40"/>
      <c r="C40"/>
      <c r="D40"/>
      <c r="E40"/>
      <c r="F40"/>
      <c r="G40" s="85"/>
      <c r="H40" s="87"/>
      <c r="I40" s="87"/>
      <c r="J40" s="87"/>
    </row>
    <row r="41" spans="1:10" x14ac:dyDescent="0.35">
      <c r="G41" s="85"/>
      <c r="H41" s="87"/>
      <c r="I41" s="87"/>
      <c r="J41" s="87"/>
    </row>
    <row r="42" spans="1:10" x14ac:dyDescent="0.35">
      <c r="G42" s="85"/>
      <c r="H42" s="87"/>
      <c r="I42" s="87"/>
      <c r="J42" s="87"/>
    </row>
    <row r="43" spans="1:10" x14ac:dyDescent="0.35">
      <c r="G43" s="85"/>
      <c r="H43" s="87"/>
      <c r="I43" s="87"/>
      <c r="J43" s="87"/>
    </row>
    <row r="44" spans="1:10" x14ac:dyDescent="0.35">
      <c r="G44" s="85"/>
      <c r="H44" s="87"/>
      <c r="I44" s="87"/>
      <c r="J44" s="87"/>
    </row>
  </sheetData>
  <pageMargins left="0.75" right="0.75" top="1" bottom="1" header="0.5" footer="0.5"/>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0"/>
  <sheetViews>
    <sheetView showGridLines="0" showZeros="0" workbookViewId="0"/>
  </sheetViews>
  <sheetFormatPr defaultRowHeight="15.5" outlineLevelCol="1" x14ac:dyDescent="0.35"/>
  <cols>
    <col min="1" max="1" width="19.33203125" customWidth="1"/>
    <col min="2" max="2" width="30.33203125" customWidth="1"/>
    <col min="3" max="3" width="29.58203125" customWidth="1"/>
    <col min="4" max="5" width="15.83203125" customWidth="1"/>
    <col min="6" max="6" width="47.83203125" customWidth="1"/>
    <col min="7" max="7" width="15.83203125" hidden="1" customWidth="1" outlineLevel="1"/>
    <col min="8" max="8" width="8.6640625" collapsed="1"/>
    <col min="57" max="57" width="5.83203125" customWidth="1"/>
    <col min="58" max="58" width="12.83203125" customWidth="1"/>
    <col min="59" max="59" width="5.83203125" customWidth="1"/>
    <col min="60" max="60" width="12.83203125" customWidth="1"/>
    <col min="61" max="61" width="5.83203125" customWidth="1"/>
    <col min="62" max="62" width="12.83203125" customWidth="1"/>
    <col min="63" max="63" width="5.83203125" customWidth="1"/>
    <col min="64" max="64" width="12.83203125" customWidth="1"/>
    <col min="65" max="65" width="5.83203125" customWidth="1"/>
    <col min="66" max="66" width="12.83203125" customWidth="1"/>
    <col min="67" max="67" width="5.83203125" customWidth="1"/>
    <col min="68" max="68" width="12.83203125" customWidth="1"/>
    <col min="69" max="69" width="5.83203125" customWidth="1"/>
    <col min="70" max="70" width="12.83203125" customWidth="1"/>
    <col min="71" max="71" width="5.83203125" customWidth="1"/>
    <col min="72" max="72" width="12.83203125" customWidth="1"/>
    <col min="73" max="73" width="5.83203125" customWidth="1"/>
    <col min="74" max="74" width="12.83203125" customWidth="1"/>
    <col min="75" max="75" width="5.83203125" customWidth="1"/>
    <col min="76" max="76" width="12.83203125" customWidth="1"/>
    <col min="77" max="77" width="5.83203125" customWidth="1"/>
    <col min="78" max="78" width="12.83203125" customWidth="1"/>
    <col min="79" max="79" width="15.83203125" customWidth="1"/>
  </cols>
  <sheetData>
    <row r="1" spans="1:10" s="4" customFormat="1" ht="15" customHeight="1" x14ac:dyDescent="0.35">
      <c r="A1"/>
      <c r="G1"/>
    </row>
    <row r="2" spans="1:10" x14ac:dyDescent="0.35">
      <c r="A2" s="83"/>
      <c r="E2" s="86" t="s">
        <v>2</v>
      </c>
      <c r="G2" s="85"/>
    </row>
    <row r="3" spans="1:10" ht="20.149999999999999" customHeight="1" x14ac:dyDescent="0.35">
      <c r="A3" s="1"/>
      <c r="B3" s="2"/>
      <c r="C3" s="84"/>
      <c r="D3" s="85"/>
      <c r="E3" s="86" t="s">
        <v>4</v>
      </c>
      <c r="G3" s="85"/>
    </row>
    <row r="4" spans="1:10" x14ac:dyDescent="0.35">
      <c r="A4" s="1" t="s">
        <v>0</v>
      </c>
      <c r="B4" s="2" t="s">
        <v>1</v>
      </c>
      <c r="C4" s="85"/>
      <c r="D4" s="85"/>
      <c r="E4" s="86" t="s">
        <v>6</v>
      </c>
      <c r="G4" s="85"/>
    </row>
    <row r="5" spans="1:10" x14ac:dyDescent="0.35">
      <c r="A5" s="1" t="s">
        <v>7</v>
      </c>
      <c r="B5" s="2" t="s">
        <v>8</v>
      </c>
      <c r="C5" s="85"/>
      <c r="D5" s="85"/>
      <c r="E5" s="85"/>
      <c r="G5" s="85"/>
      <c r="H5" s="87"/>
      <c r="I5" s="87"/>
      <c r="J5" s="87"/>
    </row>
    <row r="6" spans="1:10" x14ac:dyDescent="0.35">
      <c r="A6" s="1" t="s">
        <v>9</v>
      </c>
      <c r="B6" s="2" t="s">
        <v>10</v>
      </c>
      <c r="C6" s="88"/>
      <c r="D6" s="85"/>
      <c r="E6" s="85"/>
      <c r="F6" s="89"/>
      <c r="G6" s="85"/>
      <c r="H6" s="87"/>
      <c r="I6" s="87"/>
      <c r="J6" s="87"/>
    </row>
    <row r="7" spans="1:10" x14ac:dyDescent="0.35">
      <c r="A7" s="1" t="s">
        <v>11</v>
      </c>
      <c r="B7" s="2" t="s">
        <v>12</v>
      </c>
      <c r="C7" s="88"/>
      <c r="D7" s="85"/>
      <c r="E7" s="85"/>
      <c r="F7" s="89"/>
      <c r="G7" s="85"/>
      <c r="H7" s="87"/>
      <c r="I7" s="87"/>
      <c r="J7" s="87"/>
    </row>
    <row r="8" spans="1:10" x14ac:dyDescent="0.35">
      <c r="A8" s="1" t="s">
        <v>13</v>
      </c>
      <c r="B8" s="2"/>
      <c r="C8" s="85"/>
      <c r="D8" s="85"/>
      <c r="E8" s="85"/>
      <c r="F8" s="89"/>
      <c r="G8" s="85"/>
      <c r="H8" s="87"/>
      <c r="I8" s="87"/>
      <c r="J8" s="87"/>
    </row>
    <row r="9" spans="1:10" x14ac:dyDescent="0.35">
      <c r="A9" s="1" t="s">
        <v>15</v>
      </c>
      <c r="B9" s="2" t="s">
        <v>16</v>
      </c>
      <c r="C9" s="85"/>
      <c r="D9" s="85"/>
      <c r="E9" s="85"/>
      <c r="F9" s="89"/>
      <c r="G9" s="85"/>
      <c r="H9" s="87"/>
      <c r="I9" s="87"/>
      <c r="J9" s="87"/>
    </row>
    <row r="10" spans="1:10" x14ac:dyDescent="0.35">
      <c r="C10" s="85"/>
      <c r="D10" s="85"/>
      <c r="E10" s="85"/>
      <c r="F10" s="89"/>
      <c r="G10" s="85"/>
    </row>
    <row r="11" spans="1:10" x14ac:dyDescent="0.35">
      <c r="B11" s="101" t="s">
        <v>36</v>
      </c>
      <c r="C11" s="85"/>
      <c r="D11" s="85"/>
      <c r="E11" s="85"/>
      <c r="F11" s="89"/>
      <c r="G11" s="85"/>
      <c r="H11" s="102"/>
    </row>
    <row r="12" spans="1:10" x14ac:dyDescent="0.35">
      <c r="B12" s="102" t="s">
        <v>37</v>
      </c>
      <c r="C12" s="85"/>
      <c r="D12" s="85"/>
      <c r="E12" s="85"/>
      <c r="F12" s="89"/>
      <c r="G12" s="85"/>
      <c r="H12" s="102"/>
    </row>
    <row r="13" spans="1:10" x14ac:dyDescent="0.35">
      <c r="B13" s="103" t="s">
        <v>38</v>
      </c>
      <c r="C13" s="85"/>
      <c r="D13" s="85"/>
      <c r="E13" s="85"/>
      <c r="F13" s="89"/>
      <c r="G13" s="85"/>
      <c r="H13" s="102"/>
    </row>
    <row r="14" spans="1:10" x14ac:dyDescent="0.35">
      <c r="C14" s="85"/>
      <c r="D14" s="85"/>
      <c r="E14" s="85"/>
      <c r="F14" s="89"/>
      <c r="G14" s="85"/>
      <c r="H14" s="102"/>
    </row>
    <row r="15" spans="1:10" ht="16.5" customHeight="1" thickBot="1" x14ac:dyDescent="0.4">
      <c r="A15" s="85"/>
      <c r="B15" s="7" t="s">
        <v>17</v>
      </c>
      <c r="C15" s="90"/>
      <c r="D15" s="7" t="s">
        <v>18</v>
      </c>
      <c r="E15" s="8" t="s">
        <v>19</v>
      </c>
      <c r="F15" s="91"/>
      <c r="G15" s="92"/>
    </row>
    <row r="16" spans="1:10" ht="16.5" customHeight="1" thickBot="1" x14ac:dyDescent="0.4">
      <c r="A16" s="85"/>
      <c r="B16" s="7" t="s">
        <v>12</v>
      </c>
      <c r="C16" s="93"/>
      <c r="D16" s="7" t="s">
        <v>20</v>
      </c>
      <c r="E16" s="9">
        <v>45202</v>
      </c>
      <c r="F16" s="104"/>
    </row>
    <row r="17" spans="1:6" ht="16.5" customHeight="1" thickBot="1" x14ac:dyDescent="0.4">
      <c r="A17" s="87"/>
      <c r="B17" s="105"/>
      <c r="C17" s="22"/>
      <c r="D17" s="23" t="s">
        <v>22</v>
      </c>
      <c r="E17" s="106" t="s">
        <v>22</v>
      </c>
      <c r="F17" s="24" t="s">
        <v>39</v>
      </c>
    </row>
    <row r="18" spans="1:6" x14ac:dyDescent="0.35">
      <c r="A18" s="87"/>
      <c r="B18" s="107" t="s">
        <v>40</v>
      </c>
      <c r="C18" s="87"/>
      <c r="D18" s="25"/>
      <c r="E18" s="25"/>
      <c r="F18" s="25"/>
    </row>
    <row r="19" spans="1:6" ht="17.149999999999999" customHeight="1" x14ac:dyDescent="0.35">
      <c r="A19" s="87"/>
      <c r="B19" s="12" t="s">
        <v>41</v>
      </c>
      <c r="D19" s="25">
        <f>n_hw_site_vbng_total</f>
        <v>241660.71000000002</v>
      </c>
      <c r="E19" s="25">
        <f t="shared" ref="E19:E25" si="0">D19-0</f>
        <v>241660.71000000002</v>
      </c>
      <c r="F19" s="138"/>
    </row>
    <row r="20" spans="1:6" x14ac:dyDescent="0.35">
      <c r="A20" s="87"/>
      <c r="B20" s="12" t="s">
        <v>42</v>
      </c>
      <c r="D20" s="25">
        <f>n_hw_site_core_total</f>
        <v>75844.78</v>
      </c>
      <c r="E20" s="25">
        <f t="shared" si="0"/>
        <v>75844.78</v>
      </c>
      <c r="F20" s="138"/>
    </row>
    <row r="21" spans="1:6" x14ac:dyDescent="0.35">
      <c r="A21" s="87"/>
      <c r="B21" s="12" t="s">
        <v>43</v>
      </c>
      <c r="D21" s="25">
        <f>n_hw_site_cpe_total</f>
        <v>1933500</v>
      </c>
      <c r="E21" s="25">
        <f t="shared" si="0"/>
        <v>1933500</v>
      </c>
      <c r="F21" s="138"/>
    </row>
    <row r="22" spans="1:6" ht="14.25" customHeight="1" x14ac:dyDescent="0.35">
      <c r="A22" s="87"/>
      <c r="B22" s="12" t="s">
        <v>44</v>
      </c>
      <c r="D22" s="25">
        <f>n_hw_site_access_hub_1_total</f>
        <v>195992.68</v>
      </c>
      <c r="E22" s="25">
        <f t="shared" si="0"/>
        <v>195992.68</v>
      </c>
      <c r="F22" s="138"/>
    </row>
    <row r="23" spans="1:6" ht="16.5" customHeight="1" thickBot="1" x14ac:dyDescent="0.4">
      <c r="A23" s="87"/>
      <c r="B23" s="12" t="s">
        <v>45</v>
      </c>
      <c r="D23" s="25">
        <f>n_hw_site_access_hub_2_total</f>
        <v>195992.68</v>
      </c>
      <c r="E23" s="25">
        <f t="shared" si="0"/>
        <v>195992.68</v>
      </c>
      <c r="F23" s="138"/>
    </row>
    <row r="24" spans="1:6" ht="16.5" customHeight="1" thickBot="1" x14ac:dyDescent="0.4">
      <c r="A24" s="87"/>
      <c r="B24" s="12" t="s">
        <v>46</v>
      </c>
      <c r="D24" s="25">
        <f>n_hw_site_access_hub_3_total</f>
        <v>195992.68</v>
      </c>
      <c r="E24" s="25">
        <f t="shared" si="0"/>
        <v>195992.68</v>
      </c>
      <c r="F24" s="138"/>
    </row>
    <row r="25" spans="1:6" x14ac:dyDescent="0.35">
      <c r="A25" s="87"/>
      <c r="B25" s="12" t="s">
        <v>47</v>
      </c>
      <c r="D25" s="25">
        <f>n_hw_site_spares_total</f>
        <v>13282.36</v>
      </c>
      <c r="E25" s="25">
        <f t="shared" si="0"/>
        <v>13282.36</v>
      </c>
      <c r="F25" s="138"/>
    </row>
    <row r="26" spans="1:6" x14ac:dyDescent="0.35">
      <c r="A26" s="87"/>
      <c r="B26" s="14" t="s">
        <v>48</v>
      </c>
      <c r="C26" s="26"/>
      <c r="D26" s="15">
        <f>SUM(D17:D25)</f>
        <v>2852265.8900000006</v>
      </c>
      <c r="E26" s="15">
        <f>SUM(E17:E25)</f>
        <v>2852265.8900000006</v>
      </c>
      <c r="F26" s="18"/>
    </row>
    <row r="27" spans="1:6" x14ac:dyDescent="0.35">
      <c r="A27" s="87"/>
      <c r="B27" s="107" t="s">
        <v>49</v>
      </c>
      <c r="C27" s="87"/>
      <c r="D27" s="25"/>
      <c r="E27" s="25"/>
      <c r="F27" s="25"/>
    </row>
    <row r="28" spans="1:6" ht="17.149999999999999" customHeight="1" x14ac:dyDescent="0.35">
      <c r="A28" s="87"/>
      <c r="B28" s="12" t="s">
        <v>50</v>
      </c>
      <c r="C28" s="27" t="s">
        <v>51</v>
      </c>
      <c r="D28" s="25">
        <f>n_design_audit___oper_svc_poc_subtotal_network</f>
        <v>25039.09</v>
      </c>
      <c r="E28" s="25">
        <f>D28-0</f>
        <v>25039.09</v>
      </c>
      <c r="F28" s="138"/>
    </row>
    <row r="29" spans="1:6" x14ac:dyDescent="0.35">
      <c r="A29" s="87"/>
      <c r="B29" s="12" t="s">
        <v>52</v>
      </c>
      <c r="C29" s="27" t="s">
        <v>51</v>
      </c>
      <c r="D29" s="25">
        <f>n_maintain_services_subtotal_network</f>
        <v>188085</v>
      </c>
      <c r="E29" s="25">
        <f>D29-0</f>
        <v>188085</v>
      </c>
      <c r="F29" s="138"/>
    </row>
    <row r="30" spans="1:6" ht="17.149999999999999" customHeight="1" x14ac:dyDescent="0.35">
      <c r="A30" s="87"/>
      <c r="B30" s="14" t="s">
        <v>53</v>
      </c>
      <c r="C30" s="26"/>
      <c r="D30" s="15">
        <f>SUM(D27:D29)</f>
        <v>213124.09</v>
      </c>
      <c r="E30" s="15">
        <f>SUM(E27:E29)</f>
        <v>213124.09</v>
      </c>
      <c r="F30" s="15"/>
    </row>
    <row r="31" spans="1:6" ht="17.149999999999999" customHeight="1" x14ac:dyDescent="0.35">
      <c r="A31" s="87"/>
      <c r="B31" s="28" t="s">
        <v>54</v>
      </c>
      <c r="C31" s="29"/>
      <c r="D31" s="30">
        <f>total</f>
        <v>3065389.9800000004</v>
      </c>
      <c r="E31" s="30">
        <f>IFERROR(totalwed, total)</f>
        <v>3065389.9800000004</v>
      </c>
    </row>
    <row r="32" spans="1:6" x14ac:dyDescent="0.35">
      <c r="A32" s="87"/>
    </row>
    <row r="33" spans="3:10" x14ac:dyDescent="0.35">
      <c r="C33" s="108"/>
    </row>
    <row r="34" spans="3:10" x14ac:dyDescent="0.35">
      <c r="F34" s="89"/>
      <c r="G34" s="85"/>
    </row>
    <row r="35" spans="3:10" x14ac:dyDescent="0.35">
      <c r="F35" s="91"/>
      <c r="G35" s="137"/>
      <c r="H35" s="87"/>
      <c r="I35" s="87"/>
      <c r="J35" s="87"/>
    </row>
    <row r="36" spans="3:10" x14ac:dyDescent="0.35">
      <c r="F36" s="91"/>
      <c r="G36" s="137"/>
      <c r="H36" s="87"/>
      <c r="I36" s="87"/>
      <c r="J36" s="87"/>
    </row>
    <row r="37" spans="3:10" x14ac:dyDescent="0.35">
      <c r="F37" s="91"/>
      <c r="G37" s="137"/>
      <c r="H37" s="87"/>
      <c r="I37" s="87"/>
      <c r="J37" s="87"/>
    </row>
    <row r="39" spans="3:10" x14ac:dyDescent="0.35">
      <c r="F39" s="89"/>
      <c r="G39" s="85"/>
      <c r="H39" s="87"/>
      <c r="I39" s="87"/>
      <c r="J39" s="87"/>
    </row>
    <row r="40" spans="3:10" x14ac:dyDescent="0.35">
      <c r="F40" s="89"/>
      <c r="G40" s="137"/>
      <c r="H40" s="87"/>
      <c r="I40" s="87"/>
      <c r="J40" s="87"/>
    </row>
    <row r="41" spans="3:10" x14ac:dyDescent="0.35">
      <c r="F41" s="89"/>
      <c r="G41" s="85"/>
      <c r="H41" s="87"/>
      <c r="I41" s="87"/>
      <c r="J41" s="87"/>
    </row>
    <row r="42" spans="3:10" x14ac:dyDescent="0.35">
      <c r="F42" s="89"/>
      <c r="G42" s="85"/>
      <c r="H42" s="87"/>
      <c r="I42" s="87"/>
      <c r="J42" s="87"/>
    </row>
    <row r="43" spans="3:10" x14ac:dyDescent="0.35">
      <c r="F43" s="89"/>
      <c r="G43" s="85"/>
      <c r="H43" s="87"/>
      <c r="I43" s="87"/>
      <c r="J43" s="87"/>
    </row>
    <row r="44" spans="3:10" x14ac:dyDescent="0.35">
      <c r="F44" s="91"/>
      <c r="G44" s="137"/>
      <c r="H44" s="87"/>
      <c r="I44" s="87"/>
      <c r="J44" s="87"/>
    </row>
    <row r="45" spans="3:10" x14ac:dyDescent="0.35">
      <c r="F45" s="91"/>
      <c r="G45" s="137"/>
      <c r="H45" s="87"/>
      <c r="I45" s="87"/>
      <c r="J45" s="87"/>
    </row>
    <row r="46" spans="3:10" x14ac:dyDescent="0.35">
      <c r="F46" s="91"/>
      <c r="G46" s="137"/>
      <c r="H46" s="87"/>
      <c r="I46" s="87"/>
      <c r="J46" s="87"/>
    </row>
    <row r="47" spans="3:10" x14ac:dyDescent="0.35">
      <c r="F47" s="89"/>
      <c r="G47" s="85"/>
      <c r="H47" s="87"/>
      <c r="I47" s="87"/>
      <c r="J47" s="87"/>
    </row>
    <row r="48" spans="3:10" x14ac:dyDescent="0.35">
      <c r="F48" s="89"/>
      <c r="G48" s="85"/>
      <c r="H48" s="87"/>
      <c r="I48" s="87"/>
      <c r="J48" s="87"/>
    </row>
    <row r="49" spans="6:10" x14ac:dyDescent="0.35">
      <c r="F49" s="89"/>
      <c r="G49" s="85"/>
      <c r="H49" s="87"/>
      <c r="I49" s="87"/>
      <c r="J49" s="87"/>
    </row>
    <row r="50" spans="6:10" x14ac:dyDescent="0.35">
      <c r="F50" s="89"/>
      <c r="G50" s="85"/>
      <c r="H50" s="87"/>
      <c r="I50" s="87"/>
      <c r="J50" s="87"/>
    </row>
    <row r="51" spans="6:10" ht="16.5" customHeight="1" thickBot="1" x14ac:dyDescent="0.4">
      <c r="F51" s="89"/>
      <c r="G51" s="85"/>
      <c r="H51" s="87"/>
      <c r="I51" s="87"/>
      <c r="J51" s="87"/>
    </row>
    <row r="52" spans="6:10" ht="16.5" customHeight="1" thickBot="1" x14ac:dyDescent="0.4">
      <c r="F52" s="89"/>
      <c r="G52" s="85"/>
      <c r="H52" s="87"/>
      <c r="I52" s="87"/>
      <c r="J52" s="87"/>
    </row>
    <row r="54" spans="6:10" ht="16.5" customHeight="1" thickBot="1" x14ac:dyDescent="0.4"/>
    <row r="55" spans="6:10" ht="16.5" customHeight="1" thickBot="1" x14ac:dyDescent="0.4"/>
    <row r="57" spans="6:10" ht="16.5" customHeight="1" thickBot="1" x14ac:dyDescent="0.4"/>
    <row r="60" spans="6:10" s="4" customFormat="1" ht="14.5" x14ac:dyDescent="0.35"/>
  </sheetData>
  <pageMargins left="0.75" right="0.75" top="1" bottom="1" header="0.5" footer="0.5"/>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147"/>
  <sheetViews>
    <sheetView showGridLines="0" showZeros="0" zoomScale="25" zoomScaleNormal="25" workbookViewId="0">
      <selection sqref="A1:AC110"/>
    </sheetView>
  </sheetViews>
  <sheetFormatPr defaultRowHeight="15.5" outlineLevelCol="1" x14ac:dyDescent="0.35"/>
  <cols>
    <col min="1" max="1" width="33.08203125" customWidth="1"/>
    <col min="2" max="2" width="53.5" customWidth="1"/>
    <col min="3" max="3" width="25.33203125" customWidth="1"/>
    <col min="4" max="4" width="13" hidden="1" customWidth="1" outlineLevel="1"/>
    <col min="5" max="5" width="15.83203125" hidden="1" customWidth="1" outlineLevel="1"/>
    <col min="6" max="6" width="8.6640625" collapsed="1"/>
    <col min="10" max="10" width="14" customWidth="1"/>
    <col min="11" max="11" width="12.33203125" hidden="1" customWidth="1" outlineLevel="1"/>
    <col min="12" max="12" width="5.83203125" customWidth="1" collapsed="1"/>
    <col min="13" max="13" width="12.83203125" customWidth="1"/>
    <col min="14" max="14" width="8.33203125" customWidth="1"/>
    <col min="15" max="15" width="12.83203125" customWidth="1"/>
    <col min="16" max="16" width="5.83203125" customWidth="1"/>
    <col min="17" max="17" width="18.08203125" customWidth="1"/>
    <col min="18" max="18" width="5.83203125" customWidth="1"/>
    <col min="19" max="19" width="12.83203125" customWidth="1"/>
    <col min="20" max="20" width="5.83203125" customWidth="1"/>
    <col min="21" max="21" width="12.83203125" customWidth="1"/>
    <col min="22" max="22" width="5.83203125" customWidth="1"/>
    <col min="23" max="23" width="12.83203125" customWidth="1"/>
    <col min="24" max="24" width="5.83203125" customWidth="1"/>
    <col min="25" max="25" width="12.83203125" customWidth="1"/>
    <col min="26" max="26" width="5.83203125" customWidth="1"/>
    <col min="27" max="27" width="12.83203125" customWidth="1"/>
    <col min="28" max="28" width="5.83203125" customWidth="1"/>
    <col min="29" max="29" width="12.83203125" customWidth="1"/>
    <col min="30" max="30" width="5.83203125" customWidth="1"/>
    <col min="31" max="31" width="12.83203125" customWidth="1"/>
    <col min="32" max="32" width="5.83203125" customWidth="1"/>
    <col min="33" max="33" width="12.83203125" customWidth="1"/>
    <col min="34" max="34" width="5.83203125" customWidth="1"/>
    <col min="35" max="35" width="12.83203125" customWidth="1"/>
    <col min="36" max="36" width="5.83203125" customWidth="1"/>
    <col min="37" max="37" width="12.83203125" customWidth="1"/>
    <col min="38" max="38" width="5.83203125" customWidth="1"/>
    <col min="39" max="39" width="12.83203125" customWidth="1"/>
    <col min="40" max="40" width="5.83203125" customWidth="1"/>
    <col min="41" max="41" width="12.83203125" customWidth="1"/>
    <col min="42" max="42" width="5.83203125" customWidth="1"/>
    <col min="43" max="43" width="12.83203125" customWidth="1"/>
    <col min="44" max="44" width="5.83203125" customWidth="1"/>
    <col min="45" max="45" width="12.83203125" customWidth="1"/>
    <col min="46" max="46" width="5.83203125" customWidth="1"/>
    <col min="47" max="47" width="12.83203125" customWidth="1"/>
    <col min="48" max="48" width="5.83203125" customWidth="1"/>
    <col min="49" max="49" width="12.83203125" customWidth="1"/>
    <col min="50" max="50" width="5.83203125" customWidth="1"/>
    <col min="51" max="51" width="12.83203125" customWidth="1"/>
    <col min="52" max="52" width="5.83203125" customWidth="1"/>
    <col min="53" max="53" width="12.83203125" customWidth="1"/>
    <col min="54" max="54" width="5.83203125" customWidth="1"/>
    <col min="55" max="55" width="12.83203125" customWidth="1"/>
    <col min="56" max="56" width="5.83203125" customWidth="1"/>
    <col min="57" max="57" width="12.83203125" customWidth="1"/>
    <col min="58" max="58" width="5.83203125" customWidth="1"/>
    <col min="59" max="59" width="12.83203125" customWidth="1"/>
    <col min="60" max="60" width="5.83203125" customWidth="1"/>
    <col min="61" max="61" width="12.83203125" customWidth="1"/>
    <col min="62" max="62" width="5.83203125" customWidth="1"/>
    <col min="63" max="63" width="12.83203125" customWidth="1"/>
    <col min="64" max="64" width="5.83203125" customWidth="1"/>
    <col min="65" max="65" width="12.83203125" customWidth="1"/>
    <col min="66" max="66" width="5.83203125" customWidth="1"/>
    <col min="67" max="67" width="12.83203125" customWidth="1"/>
    <col min="68" max="68" width="5.83203125" customWidth="1"/>
    <col min="69" max="69" width="12.83203125" customWidth="1"/>
    <col min="70" max="70" width="5.83203125" customWidth="1"/>
    <col min="71" max="71" width="12.83203125" customWidth="1"/>
    <col min="72" max="72" width="5.83203125" customWidth="1"/>
    <col min="73" max="73" width="12.83203125" customWidth="1"/>
    <col min="74" max="74" width="5.83203125" customWidth="1"/>
    <col min="75" max="75" width="12.83203125" customWidth="1"/>
    <col min="76" max="76" width="5.83203125" customWidth="1"/>
    <col min="77" max="77" width="12.83203125" customWidth="1"/>
    <col min="78" max="78" width="5.83203125" customWidth="1"/>
    <col min="79" max="79" width="12.83203125" customWidth="1"/>
    <col min="80" max="80" width="5.83203125" customWidth="1"/>
    <col min="81" max="81" width="12.83203125" customWidth="1"/>
    <col min="82" max="82" width="5.83203125" customWidth="1"/>
    <col min="83" max="83" width="12.83203125" customWidth="1"/>
    <col min="84" max="84" width="15.83203125" customWidth="1"/>
  </cols>
  <sheetData>
    <row r="1" spans="1:29" s="4" customFormat="1" ht="15" customHeight="1" x14ac:dyDescent="0.35">
      <c r="A1" s="5" t="s">
        <v>55</v>
      </c>
      <c r="B1" s="6" t="s">
        <v>1</v>
      </c>
      <c r="C1" s="84"/>
      <c r="D1" s="84"/>
      <c r="E1" s="84"/>
      <c r="K1"/>
    </row>
    <row r="2" spans="1:29" ht="20.149999999999999" customHeight="1" x14ac:dyDescent="0.35">
      <c r="A2" s="5" t="s">
        <v>56</v>
      </c>
      <c r="B2" s="6" t="s">
        <v>57</v>
      </c>
    </row>
    <row r="3" spans="1:29" x14ac:dyDescent="0.35">
      <c r="A3" s="5" t="s">
        <v>58</v>
      </c>
      <c r="B3" s="6" t="s">
        <v>12</v>
      </c>
    </row>
    <row r="4" spans="1:29" x14ac:dyDescent="0.35">
      <c r="A4" s="5" t="s">
        <v>59</v>
      </c>
      <c r="B4" s="6"/>
      <c r="C4" s="101" t="s">
        <v>36</v>
      </c>
      <c r="D4" s="101"/>
    </row>
    <row r="5" spans="1:29" x14ac:dyDescent="0.35">
      <c r="A5" s="1" t="s">
        <v>60</v>
      </c>
      <c r="B5" s="2"/>
      <c r="C5" s="102" t="s">
        <v>37</v>
      </c>
      <c r="D5" s="103"/>
    </row>
    <row r="6" spans="1:29" ht="15.75" customHeight="1" x14ac:dyDescent="0.35">
      <c r="A6" s="1" t="s">
        <v>61</v>
      </c>
      <c r="B6" s="2" t="s">
        <v>16</v>
      </c>
      <c r="C6" s="103" t="s">
        <v>62</v>
      </c>
      <c r="D6" s="103"/>
    </row>
    <row r="7" spans="1:29" ht="15.75" customHeight="1" x14ac:dyDescent="0.35">
      <c r="A7" s="5" t="s">
        <v>63</v>
      </c>
      <c r="B7" s="6" t="s">
        <v>20</v>
      </c>
      <c r="D7" s="102"/>
      <c r="E7" s="84"/>
    </row>
    <row r="8" spans="1:29" x14ac:dyDescent="0.35">
      <c r="A8" s="5" t="s">
        <v>64</v>
      </c>
      <c r="B8" s="6" t="s">
        <v>65</v>
      </c>
      <c r="D8" s="103"/>
    </row>
    <row r="9" spans="1:29" x14ac:dyDescent="0.35">
      <c r="A9" s="5" t="s">
        <v>66</v>
      </c>
      <c r="B9" s="32">
        <v>45202</v>
      </c>
    </row>
    <row r="10" spans="1:29" x14ac:dyDescent="0.35">
      <c r="A10" s="5" t="s">
        <v>67</v>
      </c>
      <c r="B10" s="139" t="s">
        <v>8</v>
      </c>
      <c r="C10" s="109"/>
      <c r="D10" s="109"/>
    </row>
    <row r="11" spans="1:29" x14ac:dyDescent="0.35">
      <c r="A11" s="5"/>
      <c r="B11" s="139"/>
      <c r="C11" s="109"/>
      <c r="D11" s="109"/>
    </row>
    <row r="12" spans="1:29" x14ac:dyDescent="0.35">
      <c r="A12" s="5" t="s">
        <v>68</v>
      </c>
      <c r="B12" s="33">
        <f>IFERROR(totalwed,total)</f>
        <v>3065389.9800000004</v>
      </c>
      <c r="C12" s="2" t="s">
        <v>69</v>
      </c>
      <c r="D12" s="2"/>
      <c r="E12" s="2"/>
    </row>
    <row r="13" spans="1:29" ht="16.5" customHeight="1" thickBot="1" x14ac:dyDescent="0.4">
      <c r="A13" s="34" t="s">
        <v>70</v>
      </c>
      <c r="B13" s="34"/>
      <c r="C13" s="34" t="s">
        <v>71</v>
      </c>
      <c r="D13" s="34"/>
      <c r="E13" s="35"/>
      <c r="F13" s="36" t="s">
        <v>72</v>
      </c>
      <c r="G13" s="36" t="s">
        <v>73</v>
      </c>
      <c r="H13" s="36" t="s">
        <v>74</v>
      </c>
      <c r="I13" s="36" t="s">
        <v>75</v>
      </c>
      <c r="J13" s="36" t="s">
        <v>76</v>
      </c>
      <c r="K13" s="36"/>
      <c r="L13" s="140" t="s">
        <v>77</v>
      </c>
      <c r="M13" s="141"/>
      <c r="N13" s="140" t="s">
        <v>41</v>
      </c>
      <c r="O13" s="141"/>
      <c r="P13" s="140" t="s">
        <v>42</v>
      </c>
      <c r="Q13" s="141"/>
      <c r="R13" s="140" t="s">
        <v>43</v>
      </c>
      <c r="S13" s="141"/>
      <c r="T13" s="140" t="s">
        <v>44</v>
      </c>
      <c r="U13" s="141"/>
      <c r="V13" s="140" t="s">
        <v>45</v>
      </c>
      <c r="W13" s="141"/>
      <c r="X13" s="140" t="s">
        <v>46</v>
      </c>
      <c r="Y13" s="141"/>
      <c r="Z13" s="140" t="s">
        <v>47</v>
      </c>
      <c r="AA13" s="141"/>
      <c r="AB13" s="37" t="s">
        <v>78</v>
      </c>
      <c r="AC13" s="38"/>
    </row>
    <row r="14" spans="1:29" ht="16.5" customHeight="1" x14ac:dyDescent="0.35">
      <c r="A14" s="39" t="s">
        <v>79</v>
      </c>
      <c r="B14" s="39"/>
      <c r="C14" s="39" t="s">
        <v>80</v>
      </c>
      <c r="D14" s="39"/>
      <c r="E14" s="40"/>
      <c r="F14" s="41" t="s">
        <v>81</v>
      </c>
      <c r="G14" s="41" t="s">
        <v>81</v>
      </c>
      <c r="H14" s="41" t="s">
        <v>82</v>
      </c>
      <c r="I14" s="41" t="s">
        <v>83</v>
      </c>
      <c r="J14" s="41" t="s">
        <v>84</v>
      </c>
      <c r="K14" s="41"/>
      <c r="L14" s="142" t="s">
        <v>85</v>
      </c>
      <c r="M14" s="43" t="s">
        <v>22</v>
      </c>
      <c r="N14" s="142" t="s">
        <v>85</v>
      </c>
      <c r="O14" s="43" t="s">
        <v>22</v>
      </c>
      <c r="P14" s="142" t="s">
        <v>85</v>
      </c>
      <c r="Q14" s="43" t="s">
        <v>22</v>
      </c>
      <c r="R14" s="142" t="s">
        <v>85</v>
      </c>
      <c r="S14" s="43" t="s">
        <v>22</v>
      </c>
      <c r="T14" s="142" t="s">
        <v>85</v>
      </c>
      <c r="U14" s="43" t="s">
        <v>22</v>
      </c>
      <c r="V14" s="142" t="s">
        <v>85</v>
      </c>
      <c r="W14" s="43" t="s">
        <v>22</v>
      </c>
      <c r="X14" s="142" t="s">
        <v>85</v>
      </c>
      <c r="Y14" s="43" t="s">
        <v>22</v>
      </c>
      <c r="Z14" s="142" t="s">
        <v>85</v>
      </c>
      <c r="AA14" s="43" t="s">
        <v>22</v>
      </c>
      <c r="AB14" s="42" t="s">
        <v>85</v>
      </c>
      <c r="AC14" s="43" t="s">
        <v>22</v>
      </c>
    </row>
    <row r="15" spans="1:29" ht="16.5" customHeight="1" thickBot="1" x14ac:dyDescent="0.4">
      <c r="A15" s="44" t="s">
        <v>86</v>
      </c>
      <c r="B15" s="44"/>
      <c r="C15" s="44"/>
      <c r="D15" s="44"/>
      <c r="E15" s="44"/>
      <c r="F15" s="44"/>
      <c r="G15" s="44"/>
      <c r="H15" s="44"/>
      <c r="I15" s="44"/>
      <c r="J15" s="44"/>
      <c r="K15" s="44"/>
      <c r="L15" s="45"/>
      <c r="M15" s="46"/>
      <c r="N15" s="45"/>
      <c r="O15" s="46"/>
      <c r="P15" s="45"/>
      <c r="Q15" s="46"/>
      <c r="R15" s="45"/>
      <c r="S15" s="46"/>
      <c r="T15" s="45"/>
      <c r="U15" s="46"/>
      <c r="V15" s="45"/>
      <c r="W15" s="46"/>
      <c r="X15" s="45"/>
      <c r="Y15" s="46"/>
      <c r="Z15" s="45"/>
      <c r="AA15" s="46"/>
      <c r="AB15" s="45"/>
      <c r="AC15" s="46"/>
    </row>
    <row r="16" spans="1:29" x14ac:dyDescent="0.35">
      <c r="A16" s="47" t="s">
        <v>42</v>
      </c>
      <c r="B16" s="47"/>
      <c r="C16" s="47"/>
      <c r="D16" s="47"/>
      <c r="E16" s="47"/>
      <c r="F16" s="47"/>
      <c r="G16" s="47"/>
      <c r="H16" s="47"/>
      <c r="I16" s="47"/>
      <c r="J16" s="47"/>
      <c r="K16" s="47"/>
      <c r="L16" s="48"/>
      <c r="M16" s="49"/>
      <c r="N16" s="48"/>
      <c r="O16" s="49"/>
      <c r="P16" s="48"/>
      <c r="Q16" s="49"/>
      <c r="R16" s="48"/>
      <c r="S16" s="49"/>
      <c r="T16" s="48"/>
      <c r="U16" s="49"/>
      <c r="V16" s="48"/>
      <c r="W16" s="49"/>
      <c r="X16" s="48"/>
      <c r="Y16" s="49"/>
      <c r="Z16" s="48"/>
      <c r="AA16" s="49"/>
      <c r="AB16" s="48"/>
      <c r="AC16" s="49"/>
    </row>
    <row r="17" spans="1:33" x14ac:dyDescent="0.35">
      <c r="A17" s="50" t="s">
        <v>87</v>
      </c>
      <c r="B17" s="50"/>
      <c r="C17" s="50" t="s">
        <v>88</v>
      </c>
      <c r="D17" s="50"/>
      <c r="E17" s="51"/>
      <c r="F17" s="52">
        <v>100</v>
      </c>
      <c r="G17" s="52">
        <v>120</v>
      </c>
      <c r="H17" s="53">
        <v>2290</v>
      </c>
      <c r="I17" s="112">
        <f>(H17 -J17) /H17*100</f>
        <v>43.668122270742359</v>
      </c>
      <c r="J17" s="53">
        <v>1290</v>
      </c>
      <c r="K17" s="53"/>
      <c r="L17" s="143"/>
      <c r="M17" s="144"/>
      <c r="N17" s="143">
        <v>0</v>
      </c>
      <c r="O17" s="144">
        <f>IFERROR(N17,0)*J17</f>
        <v>0</v>
      </c>
      <c r="P17" s="143">
        <v>0</v>
      </c>
      <c r="Q17" s="144">
        <f>IFERROR(P17,0)*J17</f>
        <v>0</v>
      </c>
      <c r="R17" s="143">
        <v>1350</v>
      </c>
      <c r="S17" s="144">
        <f>IFERROR(R17,0)*J17</f>
        <v>1741500</v>
      </c>
      <c r="T17" s="143">
        <v>0</v>
      </c>
      <c r="U17" s="144">
        <f>IFERROR(T17,0)*J17</f>
        <v>0</v>
      </c>
      <c r="V17" s="143">
        <v>0</v>
      </c>
      <c r="W17" s="144">
        <f>IFERROR(V17,0)*J17</f>
        <v>0</v>
      </c>
      <c r="X17" s="143">
        <v>0</v>
      </c>
      <c r="Y17" s="144">
        <f>IFERROR(X17,0)*J17</f>
        <v>0</v>
      </c>
      <c r="Z17" s="143">
        <v>0</v>
      </c>
      <c r="AA17" s="144">
        <f>IFERROR(Z17,0)*J17</f>
        <v>0</v>
      </c>
      <c r="AB17" s="113">
        <f>SUMIF(L14:AA14,AB14,L17:AA17)</f>
        <v>1350</v>
      </c>
      <c r="AC17" s="114">
        <f>SUMIF(L14:AB14,AC14,L17:AB17)</f>
        <v>1741500</v>
      </c>
      <c r="AG17" s="115"/>
    </row>
    <row r="18" spans="1:33" x14ac:dyDescent="0.35">
      <c r="A18" s="54" t="s">
        <v>89</v>
      </c>
      <c r="B18" s="54"/>
      <c r="C18" s="54"/>
      <c r="D18" s="54"/>
      <c r="E18" s="54"/>
      <c r="F18" s="54"/>
      <c r="G18" s="54"/>
      <c r="H18" s="54"/>
      <c r="I18" s="54"/>
      <c r="J18" s="54"/>
      <c r="K18" s="54"/>
      <c r="L18" s="55"/>
      <c r="M18" s="31"/>
      <c r="N18" s="55"/>
      <c r="O18" s="31">
        <f>SUM(gp_3801_vbng)</f>
        <v>0</v>
      </c>
      <c r="P18" s="55"/>
      <c r="Q18" s="31">
        <f>SUM(gp_3801_core)</f>
        <v>0</v>
      </c>
      <c r="R18" s="55"/>
      <c r="S18" s="31">
        <f>SUM(gp_3801_cpe)</f>
        <v>1741500</v>
      </c>
      <c r="T18" s="55"/>
      <c r="U18" s="31">
        <f>SUM(gp_3801_access_hub_1)</f>
        <v>0</v>
      </c>
      <c r="V18" s="55"/>
      <c r="W18" s="31">
        <f>SUM(gp_3801_access_hub_2)</f>
        <v>0</v>
      </c>
      <c r="X18" s="55"/>
      <c r="Y18" s="31">
        <f>SUM(gp_3801_access_hub_3)</f>
        <v>0</v>
      </c>
      <c r="Z18" s="55"/>
      <c r="AA18" s="31">
        <f>SUM(gp_3801_spares)</f>
        <v>0</v>
      </c>
      <c r="AB18" s="55"/>
      <c r="AC18" s="56">
        <f>SUMIF(L14:AB14,AC14,L18:AB18)</f>
        <v>1741500</v>
      </c>
    </row>
    <row r="19" spans="1:33" x14ac:dyDescent="0.35">
      <c r="A19" s="44" t="s">
        <v>90</v>
      </c>
      <c r="B19" s="44"/>
      <c r="C19" s="44"/>
      <c r="D19" s="44"/>
      <c r="E19" s="44"/>
      <c r="F19" s="44"/>
      <c r="G19" s="44"/>
      <c r="H19" s="44"/>
      <c r="I19" s="44"/>
      <c r="J19" s="44"/>
      <c r="K19" s="44"/>
      <c r="L19" s="45"/>
      <c r="M19" s="46"/>
      <c r="N19" s="45"/>
      <c r="O19" s="46"/>
      <c r="P19" s="45"/>
      <c r="Q19" s="46"/>
      <c r="R19" s="45"/>
      <c r="S19" s="46"/>
      <c r="T19" s="45"/>
      <c r="U19" s="46"/>
      <c r="V19" s="45"/>
      <c r="W19" s="46"/>
      <c r="X19" s="45"/>
      <c r="Y19" s="46"/>
      <c r="Z19" s="45"/>
      <c r="AA19" s="46"/>
      <c r="AB19" s="45"/>
      <c r="AC19" s="46"/>
    </row>
    <row r="20" spans="1:33" x14ac:dyDescent="0.35">
      <c r="A20" s="47" t="s">
        <v>42</v>
      </c>
      <c r="B20" s="47"/>
      <c r="C20" s="47"/>
      <c r="D20" s="47"/>
      <c r="E20" s="47"/>
      <c r="F20" s="47"/>
      <c r="G20" s="47"/>
      <c r="H20" s="47"/>
      <c r="I20" s="47"/>
      <c r="J20" s="47"/>
      <c r="K20" s="47"/>
      <c r="L20" s="48"/>
      <c r="M20" s="49"/>
      <c r="N20" s="48"/>
      <c r="O20" s="49"/>
      <c r="P20" s="48"/>
      <c r="Q20" s="49"/>
      <c r="R20" s="48"/>
      <c r="S20" s="49"/>
      <c r="T20" s="48"/>
      <c r="U20" s="49"/>
      <c r="V20" s="48"/>
      <c r="W20" s="49"/>
      <c r="X20" s="48"/>
      <c r="Y20" s="49"/>
      <c r="Z20" s="48"/>
      <c r="AA20" s="49"/>
      <c r="AB20" s="48"/>
      <c r="AC20" s="49"/>
    </row>
    <row r="21" spans="1:33" ht="16.5" customHeight="1" thickBot="1" x14ac:dyDescent="0.4">
      <c r="A21" s="50" t="s">
        <v>91</v>
      </c>
      <c r="B21" s="50"/>
      <c r="C21" s="50" t="s">
        <v>92</v>
      </c>
      <c r="D21" s="50"/>
      <c r="E21" s="51"/>
      <c r="F21" s="52">
        <v>100</v>
      </c>
      <c r="G21" s="52">
        <v>120</v>
      </c>
      <c r="H21" s="53">
        <v>2640</v>
      </c>
      <c r="I21" s="112">
        <f>(H21 -J21) /H21*100</f>
        <v>51.515151515151516</v>
      </c>
      <c r="J21" s="53">
        <v>1280</v>
      </c>
      <c r="K21" s="53"/>
      <c r="L21" s="143"/>
      <c r="M21" s="144"/>
      <c r="N21" s="143">
        <v>0</v>
      </c>
      <c r="O21" s="144">
        <f>IFERROR(N21,0)*J21</f>
        <v>0</v>
      </c>
      <c r="P21" s="143">
        <v>0</v>
      </c>
      <c r="Q21" s="144">
        <f>IFERROR(P21,0)*J21</f>
        <v>0</v>
      </c>
      <c r="R21" s="143">
        <v>150</v>
      </c>
      <c r="S21" s="144">
        <f>IFERROR(R21,0)*J21</f>
        <v>192000</v>
      </c>
      <c r="T21" s="143">
        <v>0</v>
      </c>
      <c r="U21" s="144">
        <f>IFERROR(T21,0)*J21</f>
        <v>0</v>
      </c>
      <c r="V21" s="143">
        <v>0</v>
      </c>
      <c r="W21" s="144">
        <f>IFERROR(V21,0)*J21</f>
        <v>0</v>
      </c>
      <c r="X21" s="143">
        <v>0</v>
      </c>
      <c r="Y21" s="144">
        <f>IFERROR(X21,0)*J21</f>
        <v>0</v>
      </c>
      <c r="Z21" s="143">
        <v>0</v>
      </c>
      <c r="AA21" s="144">
        <f>IFERROR(Z21,0)*J21</f>
        <v>0</v>
      </c>
      <c r="AB21" s="113">
        <f>SUMIF(L14:AA14,AB14,L21:AA21)</f>
        <v>150</v>
      </c>
      <c r="AC21" s="114">
        <f>SUMIF(L14:AB14,AC14,L21:AB21)</f>
        <v>192000</v>
      </c>
      <c r="AG21" s="115"/>
    </row>
    <row r="22" spans="1:33" ht="17.25" customHeight="1" thickBot="1" x14ac:dyDescent="0.4">
      <c r="A22" s="54" t="s">
        <v>93</v>
      </c>
      <c r="B22" s="54"/>
      <c r="C22" s="54"/>
      <c r="D22" s="54"/>
      <c r="E22" s="54"/>
      <c r="F22" s="54"/>
      <c r="G22" s="54"/>
      <c r="H22" s="54"/>
      <c r="I22" s="54"/>
      <c r="J22" s="54"/>
      <c r="K22" s="54"/>
      <c r="L22" s="55"/>
      <c r="M22" s="31"/>
      <c r="N22" s="55"/>
      <c r="O22" s="31">
        <f>SUM(gp_3802_vbng)</f>
        <v>0</v>
      </c>
      <c r="P22" s="55"/>
      <c r="Q22" s="31">
        <f>SUM(gp_3802_core)</f>
        <v>0</v>
      </c>
      <c r="R22" s="55"/>
      <c r="S22" s="31">
        <f>SUM(gp_3802_cpe)</f>
        <v>192000</v>
      </c>
      <c r="T22" s="55"/>
      <c r="U22" s="31">
        <f>SUM(gp_3802_access_hub_1)</f>
        <v>0</v>
      </c>
      <c r="V22" s="55"/>
      <c r="W22" s="31">
        <f>SUM(gp_3802_access_hub_2)</f>
        <v>0</v>
      </c>
      <c r="X22" s="55"/>
      <c r="Y22" s="31">
        <f>SUM(gp_3802_access_hub_3)</f>
        <v>0</v>
      </c>
      <c r="Z22" s="55"/>
      <c r="AA22" s="31">
        <f>SUM(gp_3802_spares)</f>
        <v>0</v>
      </c>
      <c r="AB22" s="55"/>
      <c r="AC22" s="56">
        <f>SUMIF(L14:AB14,AC14,L22:AB22)</f>
        <v>192000</v>
      </c>
    </row>
    <row r="23" spans="1:33" x14ac:dyDescent="0.35">
      <c r="A23" s="44" t="s">
        <v>94</v>
      </c>
      <c r="B23" s="44"/>
      <c r="C23" s="44"/>
      <c r="D23" s="44"/>
      <c r="E23" s="44"/>
      <c r="F23" s="44"/>
      <c r="G23" s="44"/>
      <c r="H23" s="44"/>
      <c r="I23" s="44"/>
      <c r="J23" s="44"/>
      <c r="K23" s="44"/>
      <c r="L23" s="45"/>
      <c r="M23" s="46"/>
      <c r="N23" s="45"/>
      <c r="O23" s="46"/>
      <c r="P23" s="45"/>
      <c r="Q23" s="46"/>
      <c r="R23" s="45"/>
      <c r="S23" s="46"/>
      <c r="T23" s="45"/>
      <c r="U23" s="46"/>
      <c r="V23" s="45"/>
      <c r="W23" s="46"/>
      <c r="X23" s="45"/>
      <c r="Y23" s="46"/>
      <c r="Z23" s="45"/>
      <c r="AA23" s="46"/>
      <c r="AB23" s="45"/>
      <c r="AC23" s="46"/>
    </row>
    <row r="24" spans="1:33" x14ac:dyDescent="0.35">
      <c r="A24" s="47" t="s">
        <v>42</v>
      </c>
      <c r="B24" s="47"/>
      <c r="C24" s="47"/>
      <c r="D24" s="47"/>
      <c r="E24" s="47"/>
      <c r="F24" s="47"/>
      <c r="G24" s="47"/>
      <c r="H24" s="47"/>
      <c r="I24" s="47"/>
      <c r="J24" s="47"/>
      <c r="K24" s="47"/>
      <c r="L24" s="48"/>
      <c r="M24" s="49"/>
      <c r="N24" s="48"/>
      <c r="O24" s="49"/>
      <c r="P24" s="48"/>
      <c r="Q24" s="49"/>
      <c r="R24" s="48"/>
      <c r="S24" s="49"/>
      <c r="T24" s="48"/>
      <c r="U24" s="49"/>
      <c r="V24" s="48"/>
      <c r="W24" s="49"/>
      <c r="X24" s="48"/>
      <c r="Y24" s="49"/>
      <c r="Z24" s="48"/>
      <c r="AA24" s="49"/>
      <c r="AB24" s="48"/>
      <c r="AC24" s="49"/>
    </row>
    <row r="25" spans="1:33" x14ac:dyDescent="0.35">
      <c r="A25" s="50" t="s">
        <v>95</v>
      </c>
      <c r="B25" s="50"/>
      <c r="C25" s="50" t="s">
        <v>96</v>
      </c>
      <c r="D25" s="50"/>
      <c r="E25" s="51"/>
      <c r="F25" s="52">
        <v>150</v>
      </c>
      <c r="G25" s="52">
        <v>290</v>
      </c>
      <c r="H25" s="53">
        <v>10862.88</v>
      </c>
      <c r="I25" s="112">
        <f>(H25 -J25) /H25*100</f>
        <v>50</v>
      </c>
      <c r="J25" s="53">
        <v>5431.44</v>
      </c>
      <c r="K25" s="53"/>
      <c r="L25" s="143"/>
      <c r="M25" s="144"/>
      <c r="N25" s="143">
        <v>0</v>
      </c>
      <c r="O25" s="144">
        <f>IFERROR(N25,0)*J25</f>
        <v>0</v>
      </c>
      <c r="P25" s="143">
        <v>0</v>
      </c>
      <c r="Q25" s="144">
        <f>IFERROR(P25,0)*J25</f>
        <v>0</v>
      </c>
      <c r="R25" s="143">
        <v>0</v>
      </c>
      <c r="S25" s="144">
        <f>IFERROR(R25,0)*J25</f>
        <v>0</v>
      </c>
      <c r="T25" s="143">
        <v>5</v>
      </c>
      <c r="U25" s="144">
        <f>IFERROR(T25,0)*J25</f>
        <v>27157.199999999997</v>
      </c>
      <c r="V25" s="143">
        <v>5</v>
      </c>
      <c r="W25" s="144">
        <f>IFERROR(V25,0)*J25</f>
        <v>27157.199999999997</v>
      </c>
      <c r="X25" s="143">
        <v>5</v>
      </c>
      <c r="Y25" s="144">
        <f>IFERROR(X25,0)*J25</f>
        <v>27157.199999999997</v>
      </c>
      <c r="Z25" s="143">
        <v>1</v>
      </c>
      <c r="AA25" s="144">
        <f>IFERROR(Z25,0)*J25</f>
        <v>5431.44</v>
      </c>
      <c r="AB25" s="113">
        <f>SUMIF(L14:AA14,AB14,L25:AA25)</f>
        <v>16</v>
      </c>
      <c r="AC25" s="114">
        <f>SUMIF(L14:AB14,AC14,L25:AB25)</f>
        <v>86903.039999999994</v>
      </c>
      <c r="AG25" s="115"/>
    </row>
    <row r="26" spans="1:33" ht="19.5" customHeight="1" x14ac:dyDescent="0.35">
      <c r="A26" s="47" t="s">
        <v>97</v>
      </c>
      <c r="B26" s="47"/>
      <c r="C26" s="47"/>
      <c r="D26" s="47"/>
      <c r="E26" s="47"/>
      <c r="F26" s="47"/>
      <c r="G26" s="47"/>
      <c r="H26" s="47"/>
      <c r="I26" s="47"/>
      <c r="J26" s="47"/>
      <c r="K26" s="47"/>
      <c r="L26" s="48"/>
      <c r="M26" s="49"/>
      <c r="N26" s="48"/>
      <c r="O26" s="49"/>
      <c r="P26" s="48"/>
      <c r="Q26" s="49"/>
      <c r="R26" s="48"/>
      <c r="S26" s="49"/>
      <c r="T26" s="48"/>
      <c r="U26" s="49"/>
      <c r="V26" s="48"/>
      <c r="W26" s="49"/>
      <c r="X26" s="48"/>
      <c r="Y26" s="49"/>
      <c r="Z26" s="48"/>
      <c r="AA26" s="49"/>
      <c r="AB26" s="48"/>
      <c r="AC26" s="49"/>
    </row>
    <row r="27" spans="1:33" x14ac:dyDescent="0.35">
      <c r="A27" s="50" t="s">
        <v>98</v>
      </c>
      <c r="B27" s="50"/>
      <c r="C27" s="50" t="s">
        <v>99</v>
      </c>
      <c r="D27" s="50"/>
      <c r="E27" s="51"/>
      <c r="F27" s="52">
        <v>0</v>
      </c>
      <c r="G27" s="52">
        <v>0</v>
      </c>
      <c r="H27" s="53">
        <v>199</v>
      </c>
      <c r="I27" s="112">
        <f>(H27 -J27) /H27*100</f>
        <v>55.276381909547737</v>
      </c>
      <c r="J27" s="53">
        <v>89</v>
      </c>
      <c r="K27" s="53"/>
      <c r="L27" s="143"/>
      <c r="M27" s="144"/>
      <c r="N27" s="143">
        <v>0</v>
      </c>
      <c r="O27" s="144">
        <f>IFERROR(N27,0)*J27</f>
        <v>0</v>
      </c>
      <c r="P27" s="143">
        <v>0</v>
      </c>
      <c r="Q27" s="144">
        <f>IFERROR(P27,0)*J27</f>
        <v>0</v>
      </c>
      <c r="R27" s="143">
        <v>0</v>
      </c>
      <c r="S27" s="144">
        <f>IFERROR(R27,0)*J27</f>
        <v>0</v>
      </c>
      <c r="T27" s="143">
        <v>157</v>
      </c>
      <c r="U27" s="144">
        <f>IFERROR(T27,0)*J27</f>
        <v>13973</v>
      </c>
      <c r="V27" s="143">
        <v>157</v>
      </c>
      <c r="W27" s="144">
        <f>IFERROR(V27,0)*J27</f>
        <v>13973</v>
      </c>
      <c r="X27" s="143">
        <v>157</v>
      </c>
      <c r="Y27" s="144">
        <f>IFERROR(X27,0)*J27</f>
        <v>13973</v>
      </c>
      <c r="Z27" s="143">
        <v>0</v>
      </c>
      <c r="AA27" s="144">
        <f>IFERROR(Z27,0)*J27</f>
        <v>0</v>
      </c>
      <c r="AB27" s="113">
        <f>SUMIF(L14:AA14,AB14,L27:AA27)</f>
        <v>471</v>
      </c>
      <c r="AC27" s="114">
        <f>SUMIF(L14:AB14,AC14,L27:AB27)</f>
        <v>41919</v>
      </c>
      <c r="AG27" s="115"/>
    </row>
    <row r="28" spans="1:33" x14ac:dyDescent="0.35">
      <c r="A28" s="50" t="s">
        <v>100</v>
      </c>
      <c r="B28" s="50"/>
      <c r="C28" s="50" t="s">
        <v>101</v>
      </c>
      <c r="D28" s="50"/>
      <c r="E28" s="51"/>
      <c r="F28" s="52">
        <v>0</v>
      </c>
      <c r="G28" s="52">
        <v>0</v>
      </c>
      <c r="H28" s="53">
        <v>2671.2</v>
      </c>
      <c r="I28" s="112">
        <f>(H28 -J28) /H28*100</f>
        <v>50</v>
      </c>
      <c r="J28" s="53">
        <v>1335.6</v>
      </c>
      <c r="K28" s="53"/>
      <c r="L28" s="143"/>
      <c r="M28" s="144"/>
      <c r="N28" s="143">
        <v>0</v>
      </c>
      <c r="O28" s="144">
        <f>IFERROR(N28,0)*J28</f>
        <v>0</v>
      </c>
      <c r="P28" s="143">
        <v>0</v>
      </c>
      <c r="Q28" s="144">
        <f>IFERROR(P28,0)*J28</f>
        <v>0</v>
      </c>
      <c r="R28" s="143">
        <v>0</v>
      </c>
      <c r="S28" s="144">
        <f>IFERROR(R28,0)*J28</f>
        <v>0</v>
      </c>
      <c r="T28" s="143">
        <v>5</v>
      </c>
      <c r="U28" s="144">
        <f>IFERROR(T28,0)*J28</f>
        <v>6678</v>
      </c>
      <c r="V28" s="143">
        <v>5</v>
      </c>
      <c r="W28" s="144">
        <f>IFERROR(V28,0)*J28</f>
        <v>6678</v>
      </c>
      <c r="X28" s="143">
        <v>5</v>
      </c>
      <c r="Y28" s="144">
        <f>IFERROR(X28,0)*J28</f>
        <v>6678</v>
      </c>
      <c r="Z28" s="143">
        <v>0</v>
      </c>
      <c r="AA28" s="144">
        <f>IFERROR(Z28,0)*J28</f>
        <v>0</v>
      </c>
      <c r="AB28" s="113">
        <f>SUMIF(L14:AA14,AB14,L28:AA28)</f>
        <v>15</v>
      </c>
      <c r="AC28" s="114">
        <f>SUMIF(L14:AB14,AC14,L28:AB28)</f>
        <v>20034</v>
      </c>
      <c r="AG28" s="115"/>
    </row>
    <row r="29" spans="1:33" x14ac:dyDescent="0.35">
      <c r="A29" s="50" t="s">
        <v>102</v>
      </c>
      <c r="B29" s="50"/>
      <c r="C29" s="50" t="s">
        <v>103</v>
      </c>
      <c r="D29" s="50"/>
      <c r="E29" s="51"/>
      <c r="F29" s="52">
        <v>0</v>
      </c>
      <c r="G29" s="52">
        <v>0</v>
      </c>
      <c r="H29" s="53">
        <v>6767.04</v>
      </c>
      <c r="I29" s="112">
        <f>(H29 -J29) /H29*100</f>
        <v>50</v>
      </c>
      <c r="J29" s="53">
        <v>3383.52</v>
      </c>
      <c r="K29" s="53"/>
      <c r="L29" s="143"/>
      <c r="M29" s="144"/>
      <c r="N29" s="143">
        <v>0</v>
      </c>
      <c r="O29" s="144">
        <f>IFERROR(N29,0)*J29</f>
        <v>0</v>
      </c>
      <c r="P29" s="143">
        <v>0</v>
      </c>
      <c r="Q29" s="144">
        <f>IFERROR(P29,0)*J29</f>
        <v>0</v>
      </c>
      <c r="R29" s="143">
        <v>0</v>
      </c>
      <c r="S29" s="144">
        <f>IFERROR(R29,0)*J29</f>
        <v>0</v>
      </c>
      <c r="T29" s="143">
        <v>5</v>
      </c>
      <c r="U29" s="144">
        <f>IFERROR(T29,0)*J29</f>
        <v>16917.599999999999</v>
      </c>
      <c r="V29" s="143">
        <v>5</v>
      </c>
      <c r="W29" s="144">
        <f>IFERROR(V29,0)*J29</f>
        <v>16917.599999999999</v>
      </c>
      <c r="X29" s="143">
        <v>5</v>
      </c>
      <c r="Y29" s="144">
        <f>IFERROR(X29,0)*J29</f>
        <v>16917.599999999999</v>
      </c>
      <c r="Z29" s="143">
        <v>0</v>
      </c>
      <c r="AA29" s="144">
        <f>IFERROR(Z29,0)*J29</f>
        <v>0</v>
      </c>
      <c r="AB29" s="113">
        <f>SUMIF(L14:AA14,AB14,L29:AA29)</f>
        <v>15</v>
      </c>
      <c r="AC29" s="114">
        <f>SUMIF(L14:AB14,AC14,L29:AB29)</f>
        <v>50752.799999999996</v>
      </c>
      <c r="AG29" s="115"/>
    </row>
    <row r="30" spans="1:33" ht="15" customHeight="1" x14ac:dyDescent="0.35">
      <c r="A30" s="50" t="s">
        <v>104</v>
      </c>
      <c r="B30" s="50"/>
      <c r="C30" s="50" t="s">
        <v>105</v>
      </c>
      <c r="D30" s="50"/>
      <c r="E30" s="51"/>
      <c r="F30" s="52">
        <v>0</v>
      </c>
      <c r="G30" s="52">
        <v>0</v>
      </c>
      <c r="H30" s="53">
        <v>5104.96</v>
      </c>
      <c r="I30" s="112">
        <f>(H30 -J30) /H30*100</f>
        <v>50</v>
      </c>
      <c r="J30" s="53">
        <v>2552.48</v>
      </c>
      <c r="K30" s="53"/>
      <c r="L30" s="143"/>
      <c r="M30" s="144"/>
      <c r="N30" s="143">
        <v>0</v>
      </c>
      <c r="O30" s="144">
        <f>IFERROR(N30,0)*J30</f>
        <v>0</v>
      </c>
      <c r="P30" s="143">
        <v>0</v>
      </c>
      <c r="Q30" s="144">
        <f>IFERROR(P30,0)*J30</f>
        <v>0</v>
      </c>
      <c r="R30" s="143">
        <v>0</v>
      </c>
      <c r="S30" s="144">
        <f>IFERROR(R30,0)*J30</f>
        <v>0</v>
      </c>
      <c r="T30" s="143">
        <v>5</v>
      </c>
      <c r="U30" s="144">
        <f>IFERROR(T30,0)*J30</f>
        <v>12762.4</v>
      </c>
      <c r="V30" s="143">
        <v>5</v>
      </c>
      <c r="W30" s="144">
        <f>IFERROR(V30,0)*J30</f>
        <v>12762.4</v>
      </c>
      <c r="X30" s="143">
        <v>5</v>
      </c>
      <c r="Y30" s="144">
        <f>IFERROR(X30,0)*J30</f>
        <v>12762.4</v>
      </c>
      <c r="Z30" s="143">
        <v>0</v>
      </c>
      <c r="AA30" s="144">
        <f>IFERROR(Z30,0)*J30</f>
        <v>0</v>
      </c>
      <c r="AB30" s="113">
        <f>SUMIF(L14:AA14,AB14,L30:AA30)</f>
        <v>15</v>
      </c>
      <c r="AC30" s="114">
        <f>SUMIF(L14:AB14,AC14,L30:AB30)</f>
        <v>38287.199999999997</v>
      </c>
      <c r="AG30" s="115"/>
    </row>
    <row r="31" spans="1:33" x14ac:dyDescent="0.35">
      <c r="A31" s="50" t="s">
        <v>106</v>
      </c>
      <c r="B31" s="50"/>
      <c r="C31" s="50" t="s">
        <v>107</v>
      </c>
      <c r="D31" s="50"/>
      <c r="E31" s="51"/>
      <c r="F31" s="52">
        <v>0</v>
      </c>
      <c r="G31" s="52">
        <v>0</v>
      </c>
      <c r="H31" s="53">
        <v>296.8</v>
      </c>
      <c r="I31" s="112">
        <f>(H31 -J31) /H31*100</f>
        <v>50</v>
      </c>
      <c r="J31" s="53">
        <v>148.4</v>
      </c>
      <c r="K31" s="53"/>
      <c r="L31" s="143"/>
      <c r="M31" s="144"/>
      <c r="N31" s="143">
        <v>0</v>
      </c>
      <c r="O31" s="144">
        <f>IFERROR(N31,0)*J31</f>
        <v>0</v>
      </c>
      <c r="P31" s="143">
        <v>0</v>
      </c>
      <c r="Q31" s="144">
        <f>IFERROR(P31,0)*J31</f>
        <v>0</v>
      </c>
      <c r="R31" s="143">
        <v>0</v>
      </c>
      <c r="S31" s="144">
        <f>IFERROR(R31,0)*J31</f>
        <v>0</v>
      </c>
      <c r="T31" s="143">
        <v>5</v>
      </c>
      <c r="U31" s="144">
        <f>IFERROR(T31,0)*J31</f>
        <v>742</v>
      </c>
      <c r="V31" s="143">
        <v>5</v>
      </c>
      <c r="W31" s="144">
        <f>IFERROR(V31,0)*J31</f>
        <v>742</v>
      </c>
      <c r="X31" s="143">
        <v>5</v>
      </c>
      <c r="Y31" s="144">
        <f>IFERROR(X31,0)*J31</f>
        <v>742</v>
      </c>
      <c r="Z31" s="143">
        <v>0</v>
      </c>
      <c r="AA31" s="144">
        <f>IFERROR(Z31,0)*J31</f>
        <v>0</v>
      </c>
      <c r="AB31" s="113">
        <f>SUMIF(L14:AA14,AB14,L31:AA31)</f>
        <v>15</v>
      </c>
      <c r="AC31" s="114">
        <f>SUMIF(L14:AB14,AC14,L31:AB31)</f>
        <v>2226</v>
      </c>
      <c r="AG31" s="115"/>
    </row>
    <row r="32" spans="1:33" ht="16.5" customHeight="1" thickBot="1" x14ac:dyDescent="0.4">
      <c r="A32" s="47" t="s">
        <v>108</v>
      </c>
      <c r="B32" s="47"/>
      <c r="C32" s="47"/>
      <c r="D32" s="47"/>
      <c r="E32" s="47"/>
      <c r="F32" s="47"/>
      <c r="G32" s="47"/>
      <c r="H32" s="47"/>
      <c r="I32" s="47"/>
      <c r="J32" s="47"/>
      <c r="K32" s="47"/>
      <c r="L32" s="48"/>
      <c r="M32" s="49"/>
      <c r="N32" s="48"/>
      <c r="O32" s="49"/>
      <c r="P32" s="48"/>
      <c r="Q32" s="49"/>
      <c r="R32" s="48"/>
      <c r="S32" s="49"/>
      <c r="T32" s="48"/>
      <c r="U32" s="49"/>
      <c r="V32" s="48"/>
      <c r="W32" s="49"/>
      <c r="X32" s="48"/>
      <c r="Y32" s="49"/>
      <c r="Z32" s="48"/>
      <c r="AA32" s="49"/>
      <c r="AB32" s="48"/>
      <c r="AC32" s="49"/>
    </row>
    <row r="33" spans="1:33" ht="19.5" customHeight="1" thickBot="1" x14ac:dyDescent="0.4">
      <c r="A33" s="50" t="s">
        <v>109</v>
      </c>
      <c r="B33" s="50"/>
      <c r="C33" s="50" t="s">
        <v>110</v>
      </c>
      <c r="D33" s="50"/>
      <c r="E33" s="51"/>
      <c r="F33" s="52">
        <v>6</v>
      </c>
      <c r="G33" s="52">
        <v>7</v>
      </c>
      <c r="H33" s="53">
        <v>20063.68</v>
      </c>
      <c r="I33" s="112">
        <f>(H33 -J33) /H33*100</f>
        <v>88.038086731845794</v>
      </c>
      <c r="J33" s="53">
        <v>2400</v>
      </c>
      <c r="K33" s="53"/>
      <c r="L33" s="143"/>
      <c r="M33" s="144"/>
      <c r="N33" s="143">
        <v>0</v>
      </c>
      <c r="O33" s="144">
        <f>IFERROR(N33,0)*J33</f>
        <v>0</v>
      </c>
      <c r="P33" s="143">
        <v>0</v>
      </c>
      <c r="Q33" s="144">
        <f>IFERROR(P33,0)*J33</f>
        <v>0</v>
      </c>
      <c r="R33" s="143">
        <v>0</v>
      </c>
      <c r="S33" s="144">
        <f>IFERROR(R33,0)*J33</f>
        <v>0</v>
      </c>
      <c r="T33" s="143">
        <v>2</v>
      </c>
      <c r="U33" s="144">
        <f>IFERROR(T33,0)*J33</f>
        <v>4800</v>
      </c>
      <c r="V33" s="143">
        <v>2</v>
      </c>
      <c r="W33" s="144">
        <f>IFERROR(V33,0)*J33</f>
        <v>4800</v>
      </c>
      <c r="X33" s="143">
        <v>2</v>
      </c>
      <c r="Y33" s="144">
        <f>IFERROR(X33,0)*J33</f>
        <v>4800</v>
      </c>
      <c r="Z33" s="143">
        <v>1</v>
      </c>
      <c r="AA33" s="144">
        <f>IFERROR(Z33,0)*J33</f>
        <v>2400</v>
      </c>
      <c r="AB33" s="113">
        <f>SUMIF(L14:AA14,AB14,L33:AA33)</f>
        <v>7</v>
      </c>
      <c r="AC33" s="114">
        <f>SUMIF(L14:AB14,AC14,L33:AB33)</f>
        <v>16800</v>
      </c>
      <c r="AG33" s="115"/>
    </row>
    <row r="34" spans="1:33" x14ac:dyDescent="0.35">
      <c r="A34" s="47" t="s">
        <v>111</v>
      </c>
      <c r="B34" s="47"/>
      <c r="C34" s="47"/>
      <c r="D34" s="47"/>
      <c r="E34" s="47"/>
      <c r="F34" s="47"/>
      <c r="G34" s="47"/>
      <c r="H34" s="47"/>
      <c r="I34" s="47"/>
      <c r="J34" s="47"/>
      <c r="K34" s="47"/>
      <c r="L34" s="48"/>
      <c r="M34" s="49"/>
      <c r="N34" s="48"/>
      <c r="O34" s="49"/>
      <c r="P34" s="48"/>
      <c r="Q34" s="49"/>
      <c r="R34" s="48"/>
      <c r="S34" s="49"/>
      <c r="T34" s="48"/>
      <c r="U34" s="49"/>
      <c r="V34" s="48"/>
      <c r="W34" s="49"/>
      <c r="X34" s="48"/>
      <c r="Y34" s="49"/>
      <c r="Z34" s="48"/>
      <c r="AA34" s="49"/>
      <c r="AB34" s="48"/>
      <c r="AC34" s="49"/>
    </row>
    <row r="35" spans="1:33" ht="16.5" customHeight="1" thickBot="1" x14ac:dyDescent="0.4">
      <c r="A35" s="50" t="s">
        <v>112</v>
      </c>
      <c r="B35" s="50"/>
      <c r="C35" s="50" t="s">
        <v>113</v>
      </c>
      <c r="D35" s="50"/>
      <c r="E35" s="51"/>
      <c r="F35" s="52">
        <v>4</v>
      </c>
      <c r="G35" s="52">
        <v>4.2</v>
      </c>
      <c r="H35" s="53">
        <v>1492.48</v>
      </c>
      <c r="I35" s="112">
        <f>(H35 -J35) /H35*100</f>
        <v>75.000000000000014</v>
      </c>
      <c r="J35" s="53">
        <v>373.12</v>
      </c>
      <c r="K35" s="53"/>
      <c r="L35" s="143"/>
      <c r="M35" s="144"/>
      <c r="N35" s="143">
        <v>0</v>
      </c>
      <c r="O35" s="144">
        <f>IFERROR(N35,0)*J35</f>
        <v>0</v>
      </c>
      <c r="P35" s="143">
        <v>0</v>
      </c>
      <c r="Q35" s="144">
        <f>IFERROR(P35,0)*J35</f>
        <v>0</v>
      </c>
      <c r="R35" s="143">
        <v>0</v>
      </c>
      <c r="S35" s="144">
        <f>IFERROR(R35,0)*J35</f>
        <v>0</v>
      </c>
      <c r="T35" s="143">
        <v>4</v>
      </c>
      <c r="U35" s="144">
        <f>IFERROR(T35,0)*J35</f>
        <v>1492.48</v>
      </c>
      <c r="V35" s="143">
        <v>4</v>
      </c>
      <c r="W35" s="144">
        <f>IFERROR(V35,0)*J35</f>
        <v>1492.48</v>
      </c>
      <c r="X35" s="143">
        <v>4</v>
      </c>
      <c r="Y35" s="144">
        <f>IFERROR(X35,0)*J35</f>
        <v>1492.48</v>
      </c>
      <c r="Z35" s="143">
        <v>1</v>
      </c>
      <c r="AA35" s="144">
        <f>IFERROR(Z35,0)*J35</f>
        <v>373.12</v>
      </c>
      <c r="AB35" s="113">
        <f>SUMIF(L14:AA14,AB14,L35:AA35)</f>
        <v>13</v>
      </c>
      <c r="AC35" s="114">
        <f>SUMIF(L14:AB14,AC14,L35:AB35)</f>
        <v>4850.5600000000004</v>
      </c>
      <c r="AG35" s="115"/>
    </row>
    <row r="36" spans="1:33" ht="19.5" customHeight="1" thickBot="1" x14ac:dyDescent="0.4">
      <c r="A36" s="47" t="s">
        <v>114</v>
      </c>
      <c r="B36" s="47"/>
      <c r="C36" s="47"/>
      <c r="D36" s="47"/>
      <c r="E36" s="47"/>
      <c r="F36" s="47"/>
      <c r="G36" s="47"/>
      <c r="H36" s="47"/>
      <c r="I36" s="47"/>
      <c r="J36" s="47"/>
      <c r="K36" s="47"/>
      <c r="L36" s="48"/>
      <c r="M36" s="49"/>
      <c r="N36" s="48"/>
      <c r="O36" s="49"/>
      <c r="P36" s="48"/>
      <c r="Q36" s="49"/>
      <c r="R36" s="48"/>
      <c r="S36" s="49"/>
      <c r="T36" s="48"/>
      <c r="U36" s="49"/>
      <c r="V36" s="48"/>
      <c r="W36" s="49"/>
      <c r="X36" s="48"/>
      <c r="Y36" s="49"/>
      <c r="Z36" s="48"/>
      <c r="AA36" s="49"/>
      <c r="AB36" s="48"/>
      <c r="AC36" s="49"/>
    </row>
    <row r="37" spans="1:33" ht="19.5" customHeight="1" thickBot="1" x14ac:dyDescent="0.4">
      <c r="A37" s="50" t="s">
        <v>115</v>
      </c>
      <c r="B37" s="50"/>
      <c r="C37" s="50" t="s">
        <v>116</v>
      </c>
      <c r="D37" s="50"/>
      <c r="E37" s="51"/>
      <c r="F37" s="52">
        <v>2.5</v>
      </c>
      <c r="G37" s="52">
        <v>3.3</v>
      </c>
      <c r="H37" s="53">
        <v>1699</v>
      </c>
      <c r="I37" s="112">
        <f>(H37 -J37) /H37*100</f>
        <v>58.210712183637433</v>
      </c>
      <c r="J37" s="53">
        <v>710</v>
      </c>
      <c r="K37" s="53"/>
      <c r="L37" s="143"/>
      <c r="M37" s="144"/>
      <c r="N37" s="143">
        <v>0</v>
      </c>
      <c r="O37" s="144">
        <f>IFERROR(N37,0)*J37</f>
        <v>0</v>
      </c>
      <c r="P37" s="143">
        <v>0</v>
      </c>
      <c r="Q37" s="144">
        <f>IFERROR(P37,0)*J37</f>
        <v>0</v>
      </c>
      <c r="R37" s="143">
        <v>0</v>
      </c>
      <c r="S37" s="144">
        <f>IFERROR(R37,0)*J37</f>
        <v>0</v>
      </c>
      <c r="T37" s="143">
        <v>157</v>
      </c>
      <c r="U37" s="144">
        <f>IFERROR(T37,0)*J37</f>
        <v>111470</v>
      </c>
      <c r="V37" s="143">
        <v>157</v>
      </c>
      <c r="W37" s="144">
        <f>IFERROR(V37,0)*J37</f>
        <v>111470</v>
      </c>
      <c r="X37" s="143">
        <v>157</v>
      </c>
      <c r="Y37" s="144">
        <f>IFERROR(X37,0)*J37</f>
        <v>111470</v>
      </c>
      <c r="Z37" s="143">
        <v>0</v>
      </c>
      <c r="AA37" s="144">
        <f>IFERROR(Z37,0)*J37</f>
        <v>0</v>
      </c>
      <c r="AB37" s="113">
        <f>SUMIF(L14:AA14,AB14,L37:AA37)</f>
        <v>471</v>
      </c>
      <c r="AC37" s="114">
        <f>SUMIF(L14:AB14,AC14,L37:AB37)</f>
        <v>334410</v>
      </c>
      <c r="AG37" s="115"/>
    </row>
    <row r="38" spans="1:33" x14ac:dyDescent="0.35">
      <c r="A38" s="54" t="s">
        <v>117</v>
      </c>
      <c r="B38" s="54"/>
      <c r="C38" s="54"/>
      <c r="D38" s="54"/>
      <c r="E38" s="54"/>
      <c r="F38" s="54"/>
      <c r="G38" s="54"/>
      <c r="H38" s="54"/>
      <c r="I38" s="54"/>
      <c r="J38" s="54"/>
      <c r="K38" s="54"/>
      <c r="L38" s="55"/>
      <c r="M38" s="31"/>
      <c r="N38" s="55"/>
      <c r="O38" s="31">
        <f>SUM(gp_5164_vbng)</f>
        <v>0</v>
      </c>
      <c r="P38" s="55"/>
      <c r="Q38" s="31">
        <f>SUM(gp_5164_core)</f>
        <v>0</v>
      </c>
      <c r="R38" s="55"/>
      <c r="S38" s="31">
        <f>SUM(gp_5164_cpe)</f>
        <v>0</v>
      </c>
      <c r="T38" s="55"/>
      <c r="U38" s="31">
        <f>SUM(gp_5164_access_hub_1)</f>
        <v>195992.68</v>
      </c>
      <c r="V38" s="55"/>
      <c r="W38" s="31">
        <f>SUM(gp_5164_access_hub_2)</f>
        <v>195992.68</v>
      </c>
      <c r="X38" s="55"/>
      <c r="Y38" s="31">
        <f>SUM(gp_5164_access_hub_3)</f>
        <v>195992.68</v>
      </c>
      <c r="Z38" s="55"/>
      <c r="AA38" s="31">
        <f>SUM(gp_5164_spares)</f>
        <v>8204.56</v>
      </c>
      <c r="AB38" s="55"/>
      <c r="AC38" s="56">
        <f>SUMIF(L14:AB14,AC14,L38:AB38)</f>
        <v>596182.60000000009</v>
      </c>
    </row>
    <row r="39" spans="1:33" x14ac:dyDescent="0.35">
      <c r="A39" s="44" t="s">
        <v>118</v>
      </c>
      <c r="B39" s="44"/>
      <c r="C39" s="44"/>
      <c r="D39" s="44"/>
      <c r="E39" s="44"/>
      <c r="F39" s="44"/>
      <c r="G39" s="44"/>
      <c r="H39" s="44"/>
      <c r="I39" s="44"/>
      <c r="J39" s="44"/>
      <c r="K39" s="44"/>
      <c r="L39" s="45"/>
      <c r="M39" s="46"/>
      <c r="N39" s="45"/>
      <c r="O39" s="46"/>
      <c r="P39" s="45"/>
      <c r="Q39" s="46"/>
      <c r="R39" s="45"/>
      <c r="S39" s="46"/>
      <c r="T39" s="45"/>
      <c r="U39" s="46"/>
      <c r="V39" s="45"/>
      <c r="W39" s="46"/>
      <c r="X39" s="45"/>
      <c r="Y39" s="46"/>
      <c r="Z39" s="45"/>
      <c r="AA39" s="46"/>
      <c r="AB39" s="45"/>
      <c r="AC39" s="46"/>
    </row>
    <row r="40" spans="1:33" ht="16.5" customHeight="1" thickBot="1" x14ac:dyDescent="0.4">
      <c r="A40" s="47" t="s">
        <v>42</v>
      </c>
      <c r="B40" s="47"/>
      <c r="C40" s="47"/>
      <c r="D40" s="47"/>
      <c r="E40" s="47"/>
      <c r="F40" s="47"/>
      <c r="G40" s="47"/>
      <c r="H40" s="47"/>
      <c r="I40" s="47"/>
      <c r="J40" s="47"/>
      <c r="K40" s="47"/>
      <c r="L40" s="48"/>
      <c r="M40" s="49"/>
      <c r="N40" s="48"/>
      <c r="O40" s="49"/>
      <c r="P40" s="48"/>
      <c r="Q40" s="49"/>
      <c r="R40" s="48"/>
      <c r="S40" s="49"/>
      <c r="T40" s="48"/>
      <c r="U40" s="49"/>
      <c r="V40" s="48"/>
      <c r="W40" s="49"/>
      <c r="X40" s="48"/>
      <c r="Y40" s="49"/>
      <c r="Z40" s="48"/>
      <c r="AA40" s="49"/>
      <c r="AB40" s="48"/>
      <c r="AC40" s="49"/>
    </row>
    <row r="41" spans="1:33" ht="19.5" customHeight="1" thickBot="1" x14ac:dyDescent="0.4">
      <c r="A41" s="50" t="s">
        <v>119</v>
      </c>
      <c r="B41" s="50"/>
      <c r="C41" s="50" t="s">
        <v>120</v>
      </c>
      <c r="D41" s="50"/>
      <c r="E41" s="51"/>
      <c r="F41" s="52">
        <v>91</v>
      </c>
      <c r="G41" s="52">
        <v>130</v>
      </c>
      <c r="H41" s="53">
        <v>1662.08</v>
      </c>
      <c r="I41" s="112">
        <f>(H41 -J41) /H41*100</f>
        <v>63.948787061994608</v>
      </c>
      <c r="J41" s="53">
        <v>599.20000000000005</v>
      </c>
      <c r="K41" s="53"/>
      <c r="L41" s="143"/>
      <c r="M41" s="144"/>
      <c r="N41" s="143">
        <v>0</v>
      </c>
      <c r="O41" s="144">
        <f>IFERROR(N41,0)*J41</f>
        <v>0</v>
      </c>
      <c r="P41" s="143">
        <v>4</v>
      </c>
      <c r="Q41" s="144">
        <f>IFERROR(P41,0)*J41</f>
        <v>2396.8000000000002</v>
      </c>
      <c r="R41" s="143">
        <v>0</v>
      </c>
      <c r="S41" s="144">
        <f>IFERROR(R41,0)*J41</f>
        <v>0</v>
      </c>
      <c r="T41" s="143">
        <v>0</v>
      </c>
      <c r="U41" s="144">
        <f>IFERROR(T41,0)*J41</f>
        <v>0</v>
      </c>
      <c r="V41" s="143">
        <v>0</v>
      </c>
      <c r="W41" s="144">
        <f>IFERROR(V41,0)*J41</f>
        <v>0</v>
      </c>
      <c r="X41" s="143">
        <v>0</v>
      </c>
      <c r="Y41" s="144">
        <f>IFERROR(X41,0)*J41</f>
        <v>0</v>
      </c>
      <c r="Z41" s="143">
        <v>1</v>
      </c>
      <c r="AA41" s="144">
        <f>IFERROR(Z41,0)*J41</f>
        <v>599.20000000000005</v>
      </c>
      <c r="AB41" s="113">
        <f>SUMIF(L14:AA14,AB14,L41:AA41)</f>
        <v>5</v>
      </c>
      <c r="AC41" s="114">
        <f>SUMIF(L14:AB14,AC14,L41:AB41)</f>
        <v>2996</v>
      </c>
      <c r="AG41" s="115"/>
    </row>
    <row r="42" spans="1:33" x14ac:dyDescent="0.35">
      <c r="A42" s="50" t="s">
        <v>121</v>
      </c>
      <c r="B42" s="50"/>
      <c r="C42" s="50" t="s">
        <v>122</v>
      </c>
      <c r="D42" s="50"/>
      <c r="E42" s="51"/>
      <c r="F42" s="52">
        <v>204</v>
      </c>
      <c r="G42" s="52">
        <v>446</v>
      </c>
      <c r="H42" s="53">
        <v>38762.080000000002</v>
      </c>
      <c r="I42" s="112">
        <f>(H42 -J42) /H42*100</f>
        <v>66.433586639313475</v>
      </c>
      <c r="J42" s="53">
        <v>13011.04</v>
      </c>
      <c r="K42" s="53"/>
      <c r="L42" s="143"/>
      <c r="M42" s="144"/>
      <c r="N42" s="143">
        <v>0</v>
      </c>
      <c r="O42" s="144">
        <f>IFERROR(N42,0)*J42</f>
        <v>0</v>
      </c>
      <c r="P42" s="143">
        <v>2</v>
      </c>
      <c r="Q42" s="144">
        <f>IFERROR(P42,0)*J42</f>
        <v>26022.080000000002</v>
      </c>
      <c r="R42" s="143">
        <v>0</v>
      </c>
      <c r="S42" s="144">
        <f>IFERROR(R42,0)*J42</f>
        <v>0</v>
      </c>
      <c r="T42" s="143">
        <v>0</v>
      </c>
      <c r="U42" s="144">
        <f>IFERROR(T42,0)*J42</f>
        <v>0</v>
      </c>
      <c r="V42" s="143">
        <v>0</v>
      </c>
      <c r="W42" s="144">
        <f>IFERROR(V42,0)*J42</f>
        <v>0</v>
      </c>
      <c r="X42" s="143">
        <v>0</v>
      </c>
      <c r="Y42" s="144">
        <f>IFERROR(X42,0)*J42</f>
        <v>0</v>
      </c>
      <c r="Z42" s="143">
        <v>0</v>
      </c>
      <c r="AA42" s="144">
        <f>IFERROR(Z42,0)*J42</f>
        <v>0</v>
      </c>
      <c r="AB42" s="113">
        <f>SUMIF(L14:AA14,AB14,L42:AA42)</f>
        <v>2</v>
      </c>
      <c r="AC42" s="114">
        <f>SUMIF(L14:AB14,AC14,L42:AB42)</f>
        <v>26022.080000000002</v>
      </c>
      <c r="AG42" s="115"/>
    </row>
    <row r="43" spans="1:33" x14ac:dyDescent="0.35">
      <c r="A43" s="47" t="s">
        <v>123</v>
      </c>
      <c r="B43" s="47"/>
      <c r="C43" s="47"/>
      <c r="D43" s="47"/>
      <c r="E43" s="47"/>
      <c r="F43" s="47"/>
      <c r="G43" s="47"/>
      <c r="H43" s="47"/>
      <c r="I43" s="47"/>
      <c r="J43" s="47"/>
      <c r="K43" s="47"/>
      <c r="L43" s="48"/>
      <c r="M43" s="49"/>
      <c r="N43" s="48"/>
      <c r="O43" s="49"/>
      <c r="P43" s="48"/>
      <c r="Q43" s="49"/>
      <c r="R43" s="48"/>
      <c r="S43" s="49"/>
      <c r="T43" s="48"/>
      <c r="U43" s="49"/>
      <c r="V43" s="48"/>
      <c r="W43" s="49"/>
      <c r="X43" s="48"/>
      <c r="Y43" s="49"/>
      <c r="Z43" s="48"/>
      <c r="AA43" s="49"/>
      <c r="AB43" s="48"/>
      <c r="AC43" s="49"/>
    </row>
    <row r="44" spans="1:33" ht="16.5" customHeight="1" thickBot="1" x14ac:dyDescent="0.4">
      <c r="A44" s="50" t="s">
        <v>124</v>
      </c>
      <c r="B44" s="50"/>
      <c r="C44" s="50" t="s">
        <v>125</v>
      </c>
      <c r="D44" s="50"/>
      <c r="E44" s="51"/>
      <c r="F44" s="52">
        <v>0</v>
      </c>
      <c r="G44" s="52">
        <v>0</v>
      </c>
      <c r="H44" s="53">
        <v>65.3</v>
      </c>
      <c r="I44" s="112">
        <f>(H44 -J44) /H44*100</f>
        <v>62.894333843797845</v>
      </c>
      <c r="J44" s="53">
        <v>24.23</v>
      </c>
      <c r="K44" s="53"/>
      <c r="L44" s="143"/>
      <c r="M44" s="144"/>
      <c r="N44" s="143">
        <v>0</v>
      </c>
      <c r="O44" s="144">
        <f>IFERROR(N44,0)*J44</f>
        <v>0</v>
      </c>
      <c r="P44" s="143">
        <v>2</v>
      </c>
      <c r="Q44" s="144">
        <f>IFERROR(P44,0)*J44</f>
        <v>48.46</v>
      </c>
      <c r="R44" s="143">
        <v>0</v>
      </c>
      <c r="S44" s="144">
        <f>IFERROR(R44,0)*J44</f>
        <v>0</v>
      </c>
      <c r="T44" s="143">
        <v>0</v>
      </c>
      <c r="U44" s="144">
        <f>IFERROR(T44,0)*J44</f>
        <v>0</v>
      </c>
      <c r="V44" s="143">
        <v>0</v>
      </c>
      <c r="W44" s="144">
        <f>IFERROR(V44,0)*J44</f>
        <v>0</v>
      </c>
      <c r="X44" s="143">
        <v>0</v>
      </c>
      <c r="Y44" s="144">
        <f>IFERROR(X44,0)*J44</f>
        <v>0</v>
      </c>
      <c r="Z44" s="143">
        <v>0</v>
      </c>
      <c r="AA44" s="144">
        <f>IFERROR(Z44,0)*J44</f>
        <v>0</v>
      </c>
      <c r="AB44" s="113">
        <f>SUMIF(L14:AA14,AB14,L44:AA44)</f>
        <v>2</v>
      </c>
      <c r="AC44" s="114">
        <f>SUMIF(L14:AB14,AC14,L44:AB44)</f>
        <v>48.46</v>
      </c>
      <c r="AG44" s="115"/>
    </row>
    <row r="45" spans="1:33" ht="15" customHeight="1" thickBot="1" x14ac:dyDescent="0.4">
      <c r="A45" s="47" t="s">
        <v>97</v>
      </c>
      <c r="B45" s="47"/>
      <c r="C45" s="47"/>
      <c r="D45" s="47"/>
      <c r="E45" s="47"/>
      <c r="F45" s="47"/>
      <c r="G45" s="47"/>
      <c r="H45" s="47"/>
      <c r="I45" s="47"/>
      <c r="J45" s="47"/>
      <c r="K45" s="47"/>
      <c r="L45" s="48"/>
      <c r="M45" s="49"/>
      <c r="N45" s="48"/>
      <c r="O45" s="49"/>
      <c r="P45" s="48"/>
      <c r="Q45" s="49"/>
      <c r="R45" s="48"/>
      <c r="S45" s="49"/>
      <c r="T45" s="48"/>
      <c r="U45" s="49"/>
      <c r="V45" s="48"/>
      <c r="W45" s="49"/>
      <c r="X45" s="48"/>
      <c r="Y45" s="49"/>
      <c r="Z45" s="48"/>
      <c r="AA45" s="49"/>
      <c r="AB45" s="48"/>
      <c r="AC45" s="49"/>
    </row>
    <row r="46" spans="1:33" ht="16.5" customHeight="1" thickBot="1" x14ac:dyDescent="0.4">
      <c r="A46" s="50" t="s">
        <v>126</v>
      </c>
      <c r="B46" s="50"/>
      <c r="C46" s="50" t="s">
        <v>127</v>
      </c>
      <c r="D46" s="50"/>
      <c r="E46" s="51"/>
      <c r="F46" s="52">
        <v>0</v>
      </c>
      <c r="G46" s="52">
        <v>0</v>
      </c>
      <c r="H46" s="53">
        <v>24146.46</v>
      </c>
      <c r="I46" s="112">
        <f>(H46 -J46) /H46*100</f>
        <v>72.193025395855116</v>
      </c>
      <c r="J46" s="53">
        <v>6714.4</v>
      </c>
      <c r="K46" s="53"/>
      <c r="L46" s="143"/>
      <c r="M46" s="144"/>
      <c r="N46" s="143">
        <v>0</v>
      </c>
      <c r="O46" s="144">
        <f>IFERROR(N46,0)*J46</f>
        <v>0</v>
      </c>
      <c r="P46" s="143">
        <v>2</v>
      </c>
      <c r="Q46" s="144">
        <f>IFERROR(P46,0)*J46</f>
        <v>13428.8</v>
      </c>
      <c r="R46" s="143">
        <v>0</v>
      </c>
      <c r="S46" s="144">
        <f>IFERROR(R46,0)*J46</f>
        <v>0</v>
      </c>
      <c r="T46" s="143">
        <v>0</v>
      </c>
      <c r="U46" s="144">
        <f>IFERROR(T46,0)*J46</f>
        <v>0</v>
      </c>
      <c r="V46" s="143">
        <v>0</v>
      </c>
      <c r="W46" s="144">
        <f>IFERROR(V46,0)*J46</f>
        <v>0</v>
      </c>
      <c r="X46" s="143">
        <v>0</v>
      </c>
      <c r="Y46" s="144">
        <f>IFERROR(X46,0)*J46</f>
        <v>0</v>
      </c>
      <c r="Z46" s="143">
        <v>0</v>
      </c>
      <c r="AA46" s="144">
        <f>IFERROR(Z46,0)*J46</f>
        <v>0</v>
      </c>
      <c r="AB46" s="113">
        <f>SUMIF(L14:AA14,AB14,L46:AA46)</f>
        <v>2</v>
      </c>
      <c r="AC46" s="114">
        <f>SUMIF(L14:AB14,AC14,L46:AB46)</f>
        <v>13428.8</v>
      </c>
      <c r="AG46" s="115"/>
    </row>
    <row r="47" spans="1:33" ht="15" customHeight="1" thickBot="1" x14ac:dyDescent="0.4">
      <c r="A47" s="50" t="s">
        <v>128</v>
      </c>
      <c r="B47" s="50"/>
      <c r="C47" s="50" t="s">
        <v>129</v>
      </c>
      <c r="D47" s="50"/>
      <c r="E47" s="51"/>
      <c r="F47" s="52">
        <v>0</v>
      </c>
      <c r="G47" s="52">
        <v>0</v>
      </c>
      <c r="H47" s="53">
        <v>18216.400000000001</v>
      </c>
      <c r="I47" s="112">
        <f>(H47 -J47) /H47*100</f>
        <v>73.814365077622369</v>
      </c>
      <c r="J47" s="53">
        <v>4770.08</v>
      </c>
      <c r="K47" s="53"/>
      <c r="L47" s="143"/>
      <c r="M47" s="144"/>
      <c r="N47" s="143">
        <v>0</v>
      </c>
      <c r="O47" s="144">
        <f>IFERROR(N47,0)*J47</f>
        <v>0</v>
      </c>
      <c r="P47" s="143">
        <v>2</v>
      </c>
      <c r="Q47" s="144">
        <f>IFERROR(P47,0)*J47</f>
        <v>9540.16</v>
      </c>
      <c r="R47" s="143">
        <v>0</v>
      </c>
      <c r="S47" s="144">
        <f>IFERROR(R47,0)*J47</f>
        <v>0</v>
      </c>
      <c r="T47" s="143">
        <v>0</v>
      </c>
      <c r="U47" s="144">
        <f>IFERROR(T47,0)*J47</f>
        <v>0</v>
      </c>
      <c r="V47" s="143">
        <v>0</v>
      </c>
      <c r="W47" s="144">
        <f>IFERROR(V47,0)*J47</f>
        <v>0</v>
      </c>
      <c r="X47" s="143">
        <v>0</v>
      </c>
      <c r="Y47" s="144">
        <f>IFERROR(X47,0)*J47</f>
        <v>0</v>
      </c>
      <c r="Z47" s="143">
        <v>0</v>
      </c>
      <c r="AA47" s="144">
        <f>IFERROR(Z47,0)*J47</f>
        <v>0</v>
      </c>
      <c r="AB47" s="113">
        <f>SUMIF(L14:AA14,AB14,L47:AA47)</f>
        <v>2</v>
      </c>
      <c r="AC47" s="114">
        <f>SUMIF(L14:AB14,AC14,L47:AB47)</f>
        <v>9540.16</v>
      </c>
      <c r="AG47" s="115"/>
    </row>
    <row r="48" spans="1:33" ht="15" customHeight="1" thickBot="1" x14ac:dyDescent="0.4">
      <c r="A48" s="50" t="s">
        <v>130</v>
      </c>
      <c r="B48" s="50"/>
      <c r="C48" s="50" t="s">
        <v>131</v>
      </c>
      <c r="D48" s="50"/>
      <c r="E48" s="51"/>
      <c r="F48" s="52">
        <v>0</v>
      </c>
      <c r="G48" s="52">
        <v>0</v>
      </c>
      <c r="H48" s="53">
        <v>296.8</v>
      </c>
      <c r="I48" s="112">
        <f>(H48 -J48) /H48*100</f>
        <v>66.037735849056602</v>
      </c>
      <c r="J48" s="53">
        <v>100.8</v>
      </c>
      <c r="K48" s="53"/>
      <c r="L48" s="143"/>
      <c r="M48" s="144"/>
      <c r="N48" s="143">
        <v>0</v>
      </c>
      <c r="O48" s="144">
        <f>IFERROR(N48,0)*J48</f>
        <v>0</v>
      </c>
      <c r="P48" s="143">
        <v>2</v>
      </c>
      <c r="Q48" s="144">
        <f>IFERROR(P48,0)*J48</f>
        <v>201.6</v>
      </c>
      <c r="R48" s="143">
        <v>0</v>
      </c>
      <c r="S48" s="144">
        <f>IFERROR(R48,0)*J48</f>
        <v>0</v>
      </c>
      <c r="T48" s="143">
        <v>0</v>
      </c>
      <c r="U48" s="144">
        <f>IFERROR(T48,0)*J48</f>
        <v>0</v>
      </c>
      <c r="V48" s="143">
        <v>0</v>
      </c>
      <c r="W48" s="144">
        <f>IFERROR(V48,0)*J48</f>
        <v>0</v>
      </c>
      <c r="X48" s="143">
        <v>0</v>
      </c>
      <c r="Y48" s="144">
        <f>IFERROR(X48,0)*J48</f>
        <v>0</v>
      </c>
      <c r="Z48" s="143">
        <v>0</v>
      </c>
      <c r="AA48" s="144">
        <f>IFERROR(Z48,0)*J48</f>
        <v>0</v>
      </c>
      <c r="AB48" s="113">
        <f>SUMIF(L14:AA14,AB14,L48:AA48)</f>
        <v>2</v>
      </c>
      <c r="AC48" s="114">
        <f>SUMIF(L14:AB14,AC14,L48:AB48)</f>
        <v>201.6</v>
      </c>
      <c r="AG48" s="115"/>
    </row>
    <row r="49" spans="1:33" x14ac:dyDescent="0.35">
      <c r="A49" s="47" t="s">
        <v>132</v>
      </c>
      <c r="B49" s="47"/>
      <c r="C49" s="47"/>
      <c r="D49" s="47"/>
      <c r="E49" s="47"/>
      <c r="F49" s="47"/>
      <c r="G49" s="47"/>
      <c r="H49" s="47"/>
      <c r="I49" s="47"/>
      <c r="J49" s="47"/>
      <c r="K49" s="47"/>
      <c r="L49" s="48"/>
      <c r="M49" s="49"/>
      <c r="N49" s="48"/>
      <c r="O49" s="49"/>
      <c r="P49" s="48"/>
      <c r="Q49" s="49"/>
      <c r="R49" s="48"/>
      <c r="S49" s="49"/>
      <c r="T49" s="48"/>
      <c r="U49" s="49"/>
      <c r="V49" s="48"/>
      <c r="W49" s="49"/>
      <c r="X49" s="48"/>
      <c r="Y49" s="49"/>
      <c r="Z49" s="48"/>
      <c r="AA49" s="49"/>
      <c r="AB49" s="48"/>
      <c r="AC49" s="49"/>
    </row>
    <row r="50" spans="1:33" ht="16.5" customHeight="1" thickBot="1" x14ac:dyDescent="0.4">
      <c r="A50" s="50" t="s">
        <v>133</v>
      </c>
      <c r="B50" s="50"/>
      <c r="C50" s="50" t="s">
        <v>134</v>
      </c>
      <c r="D50" s="50"/>
      <c r="E50" s="51"/>
      <c r="F50" s="52">
        <v>18</v>
      </c>
      <c r="G50" s="52">
        <v>25</v>
      </c>
      <c r="H50" s="53">
        <v>4392.6400000000003</v>
      </c>
      <c r="I50" s="112">
        <f>(H50 -J50) /H50*100</f>
        <v>62.289648138704749</v>
      </c>
      <c r="J50" s="53">
        <v>1656.48</v>
      </c>
      <c r="K50" s="53"/>
      <c r="L50" s="143"/>
      <c r="M50" s="144"/>
      <c r="N50" s="143">
        <v>0</v>
      </c>
      <c r="O50" s="144">
        <f>IFERROR(N50,0)*J50</f>
        <v>0</v>
      </c>
      <c r="P50" s="143">
        <v>4</v>
      </c>
      <c r="Q50" s="144">
        <f>IFERROR(P50,0)*J50</f>
        <v>6625.92</v>
      </c>
      <c r="R50" s="143">
        <v>0</v>
      </c>
      <c r="S50" s="144">
        <f>IFERROR(R50,0)*J50</f>
        <v>0</v>
      </c>
      <c r="T50" s="143">
        <v>0</v>
      </c>
      <c r="U50" s="144">
        <f>IFERROR(T50,0)*J50</f>
        <v>0</v>
      </c>
      <c r="V50" s="143">
        <v>0</v>
      </c>
      <c r="W50" s="144">
        <f>IFERROR(V50,0)*J50</f>
        <v>0</v>
      </c>
      <c r="X50" s="143">
        <v>0</v>
      </c>
      <c r="Y50" s="144">
        <f>IFERROR(X50,0)*J50</f>
        <v>0</v>
      </c>
      <c r="Z50" s="143">
        <v>1</v>
      </c>
      <c r="AA50" s="144">
        <f>IFERROR(Z50,0)*J50</f>
        <v>1656.48</v>
      </c>
      <c r="AB50" s="113">
        <f>SUMIF(L14:AA14,AB14,L50:AA50)</f>
        <v>5</v>
      </c>
      <c r="AC50" s="114">
        <f>SUMIF(L14:AB14,AC14,L50:AB50)</f>
        <v>8282.4</v>
      </c>
      <c r="AG50" s="115"/>
    </row>
    <row r="51" spans="1:33" ht="15" customHeight="1" thickBot="1" x14ac:dyDescent="0.4">
      <c r="A51" s="47" t="s">
        <v>114</v>
      </c>
      <c r="B51" s="47"/>
      <c r="C51" s="47"/>
      <c r="D51" s="47"/>
      <c r="E51" s="47"/>
      <c r="F51" s="47"/>
      <c r="G51" s="47"/>
      <c r="H51" s="47"/>
      <c r="I51" s="47"/>
      <c r="J51" s="47"/>
      <c r="K51" s="47"/>
      <c r="L51" s="48"/>
      <c r="M51" s="49"/>
      <c r="N51" s="48"/>
      <c r="O51" s="49"/>
      <c r="P51" s="48"/>
      <c r="Q51" s="49"/>
      <c r="R51" s="48"/>
      <c r="S51" s="49"/>
      <c r="T51" s="48"/>
      <c r="U51" s="49"/>
      <c r="V51" s="48"/>
      <c r="W51" s="49"/>
      <c r="X51" s="48"/>
      <c r="Y51" s="49"/>
      <c r="Z51" s="48"/>
      <c r="AA51" s="49"/>
      <c r="AB51" s="48"/>
      <c r="AC51" s="49"/>
    </row>
    <row r="52" spans="1:33" x14ac:dyDescent="0.35">
      <c r="A52" s="50" t="s">
        <v>135</v>
      </c>
      <c r="B52" s="50"/>
      <c r="C52" s="50" t="s">
        <v>136</v>
      </c>
      <c r="D52" s="50"/>
      <c r="E52" s="51"/>
      <c r="F52" s="52">
        <v>1</v>
      </c>
      <c r="G52" s="52">
        <v>1</v>
      </c>
      <c r="H52" s="53">
        <v>1893.58</v>
      </c>
      <c r="I52" s="112">
        <f>(H52 -J52) /H52*100</f>
        <v>97.412308959748202</v>
      </c>
      <c r="J52" s="53">
        <v>49</v>
      </c>
      <c r="K52" s="53"/>
      <c r="L52" s="143"/>
      <c r="M52" s="144"/>
      <c r="N52" s="143">
        <v>0</v>
      </c>
      <c r="O52" s="144">
        <f>IFERROR(N52,0)*J52</f>
        <v>0</v>
      </c>
      <c r="P52" s="143">
        <v>4</v>
      </c>
      <c r="Q52" s="144">
        <f>IFERROR(P52,0)*J52</f>
        <v>196</v>
      </c>
      <c r="R52" s="143">
        <v>0</v>
      </c>
      <c r="S52" s="144">
        <f>IFERROR(R52,0)*J52</f>
        <v>0</v>
      </c>
      <c r="T52" s="143">
        <v>0</v>
      </c>
      <c r="U52" s="144">
        <f>IFERROR(T52,0)*J52</f>
        <v>0</v>
      </c>
      <c r="V52" s="143">
        <v>0</v>
      </c>
      <c r="W52" s="144">
        <f>IFERROR(V52,0)*J52</f>
        <v>0</v>
      </c>
      <c r="X52" s="143">
        <v>0</v>
      </c>
      <c r="Y52" s="144">
        <f>IFERROR(X52,0)*J52</f>
        <v>0</v>
      </c>
      <c r="Z52" s="143">
        <v>1</v>
      </c>
      <c r="AA52" s="144">
        <f>IFERROR(Z52,0)*J52</f>
        <v>49</v>
      </c>
      <c r="AB52" s="113">
        <f>SUMIF(L14:AA14,AB14,L52:AA52)</f>
        <v>5</v>
      </c>
      <c r="AC52" s="114">
        <f>SUMIF(L14:AB14,AC14,L52:AB52)</f>
        <v>245</v>
      </c>
      <c r="AG52" s="115"/>
    </row>
    <row r="53" spans="1:33" x14ac:dyDescent="0.35">
      <c r="A53" s="47" t="s">
        <v>111</v>
      </c>
      <c r="B53" s="47"/>
      <c r="C53" s="47"/>
      <c r="D53" s="47"/>
      <c r="E53" s="47"/>
      <c r="F53" s="47"/>
      <c r="G53" s="47"/>
      <c r="H53" s="47"/>
      <c r="I53" s="47"/>
      <c r="J53" s="47"/>
      <c r="K53" s="47"/>
      <c r="L53" s="48"/>
      <c r="M53" s="49"/>
      <c r="N53" s="48"/>
      <c r="O53" s="49"/>
      <c r="P53" s="48"/>
      <c r="Q53" s="49"/>
      <c r="R53" s="48"/>
      <c r="S53" s="49"/>
      <c r="T53" s="48"/>
      <c r="U53" s="49"/>
      <c r="V53" s="48"/>
      <c r="W53" s="49"/>
      <c r="X53" s="48"/>
      <c r="Y53" s="49"/>
      <c r="Z53" s="48"/>
      <c r="AA53" s="49"/>
      <c r="AB53" s="48"/>
      <c r="AC53" s="49"/>
    </row>
    <row r="54" spans="1:33" x14ac:dyDescent="0.35">
      <c r="A54" s="50" t="s">
        <v>112</v>
      </c>
      <c r="B54" s="50"/>
      <c r="C54" s="50" t="s">
        <v>113</v>
      </c>
      <c r="D54" s="50"/>
      <c r="E54" s="51"/>
      <c r="F54" s="52">
        <v>4</v>
      </c>
      <c r="G54" s="52">
        <v>4.2</v>
      </c>
      <c r="H54" s="53">
        <v>1492.48</v>
      </c>
      <c r="I54" s="112">
        <f>(H54 -J54) /H54*100</f>
        <v>75.000000000000014</v>
      </c>
      <c r="J54" s="53">
        <v>373.12</v>
      </c>
      <c r="K54" s="53"/>
      <c r="L54" s="143"/>
      <c r="M54" s="144"/>
      <c r="N54" s="143">
        <v>0</v>
      </c>
      <c r="O54" s="144">
        <f>IFERROR(N54,0)*J54</f>
        <v>0</v>
      </c>
      <c r="P54" s="143">
        <v>8</v>
      </c>
      <c r="Q54" s="144">
        <f>IFERROR(P54,0)*J54</f>
        <v>2984.96</v>
      </c>
      <c r="R54" s="143">
        <v>0</v>
      </c>
      <c r="S54" s="144">
        <f>IFERROR(R54,0)*J54</f>
        <v>0</v>
      </c>
      <c r="T54" s="143">
        <v>0</v>
      </c>
      <c r="U54" s="144">
        <f>IFERROR(T54,0)*J54</f>
        <v>0</v>
      </c>
      <c r="V54" s="143">
        <v>0</v>
      </c>
      <c r="W54" s="144">
        <f>IFERROR(V54,0)*J54</f>
        <v>0</v>
      </c>
      <c r="X54" s="143">
        <v>0</v>
      </c>
      <c r="Y54" s="144">
        <f>IFERROR(X54,0)*J54</f>
        <v>0</v>
      </c>
      <c r="Z54" s="143">
        <v>1</v>
      </c>
      <c r="AA54" s="144">
        <f>IFERROR(Z54,0)*J54</f>
        <v>373.12</v>
      </c>
      <c r="AB54" s="113">
        <f>SUMIF(L14:AA14,AB14,L54:AA54)</f>
        <v>9</v>
      </c>
      <c r="AC54" s="114">
        <f>SUMIF(L14:AB14,AC14,L54:AB54)</f>
        <v>3358.08</v>
      </c>
      <c r="AG54" s="115"/>
    </row>
    <row r="55" spans="1:33" x14ac:dyDescent="0.35">
      <c r="A55" s="47" t="s">
        <v>137</v>
      </c>
      <c r="B55" s="47"/>
      <c r="C55" s="47"/>
      <c r="D55" s="47"/>
      <c r="E55" s="47"/>
      <c r="F55" s="47"/>
      <c r="G55" s="47"/>
      <c r="H55" s="47"/>
      <c r="I55" s="47"/>
      <c r="J55" s="47"/>
      <c r="K55" s="47"/>
      <c r="L55" s="48"/>
      <c r="M55" s="49"/>
      <c r="N55" s="48"/>
      <c r="O55" s="49"/>
      <c r="P55" s="48"/>
      <c r="Q55" s="49"/>
      <c r="R55" s="48"/>
      <c r="S55" s="49"/>
      <c r="T55" s="48"/>
      <c r="U55" s="49"/>
      <c r="V55" s="48"/>
      <c r="W55" s="49"/>
      <c r="X55" s="48"/>
      <c r="Y55" s="49"/>
      <c r="Z55" s="48"/>
      <c r="AA55" s="49"/>
      <c r="AB55" s="48"/>
      <c r="AC55" s="49"/>
    </row>
    <row r="56" spans="1:33" x14ac:dyDescent="0.35">
      <c r="A56" s="50" t="s">
        <v>109</v>
      </c>
      <c r="B56" s="50"/>
      <c r="C56" s="50" t="s">
        <v>110</v>
      </c>
      <c r="D56" s="50"/>
      <c r="E56" s="51"/>
      <c r="F56" s="52">
        <v>6</v>
      </c>
      <c r="G56" s="52">
        <v>7</v>
      </c>
      <c r="H56" s="53">
        <v>20063.68</v>
      </c>
      <c r="I56" s="112">
        <f>(H56 -J56) /H56*100</f>
        <v>88.038086731845794</v>
      </c>
      <c r="J56" s="53">
        <v>2400</v>
      </c>
      <c r="K56" s="53"/>
      <c r="L56" s="143"/>
      <c r="M56" s="144"/>
      <c r="N56" s="143">
        <v>0</v>
      </c>
      <c r="O56" s="144">
        <f>IFERROR(N56,0)*J56</f>
        <v>0</v>
      </c>
      <c r="P56" s="143">
        <v>6</v>
      </c>
      <c r="Q56" s="144">
        <f>IFERROR(P56,0)*J56</f>
        <v>14400</v>
      </c>
      <c r="R56" s="143">
        <v>0</v>
      </c>
      <c r="S56" s="144">
        <f>IFERROR(R56,0)*J56</f>
        <v>0</v>
      </c>
      <c r="T56" s="143">
        <v>0</v>
      </c>
      <c r="U56" s="144">
        <f>IFERROR(T56,0)*J56</f>
        <v>0</v>
      </c>
      <c r="V56" s="143">
        <v>0</v>
      </c>
      <c r="W56" s="144">
        <f>IFERROR(V56,0)*J56</f>
        <v>0</v>
      </c>
      <c r="X56" s="143">
        <v>0</v>
      </c>
      <c r="Y56" s="144">
        <f>IFERROR(X56,0)*J56</f>
        <v>0</v>
      </c>
      <c r="Z56" s="143">
        <v>1</v>
      </c>
      <c r="AA56" s="144">
        <f>IFERROR(Z56,0)*J56</f>
        <v>2400</v>
      </c>
      <c r="AB56" s="113">
        <f>SUMIF(L14:AA14,AB14,L56:AA56)</f>
        <v>7</v>
      </c>
      <c r="AC56" s="114">
        <f>SUMIF(L14:AB14,AC14,L56:AB56)</f>
        <v>16800</v>
      </c>
      <c r="AG56" s="115"/>
    </row>
    <row r="57" spans="1:33" x14ac:dyDescent="0.35">
      <c r="A57" s="54" t="s">
        <v>138</v>
      </c>
      <c r="B57" s="54"/>
      <c r="C57" s="54"/>
      <c r="D57" s="54"/>
      <c r="E57" s="54"/>
      <c r="F57" s="54"/>
      <c r="G57" s="54"/>
      <c r="H57" s="54"/>
      <c r="I57" s="54"/>
      <c r="J57" s="54"/>
      <c r="K57" s="54"/>
      <c r="L57" s="55"/>
      <c r="M57" s="31"/>
      <c r="N57" s="55"/>
      <c r="O57" s="31">
        <f>SUM(gp_8110_vbng)</f>
        <v>0</v>
      </c>
      <c r="P57" s="55"/>
      <c r="Q57" s="31">
        <f>SUM(gp_8110_core)</f>
        <v>75844.78</v>
      </c>
      <c r="R57" s="55"/>
      <c r="S57" s="31">
        <f>SUM(gp_8110_cpe)</f>
        <v>0</v>
      </c>
      <c r="T57" s="55"/>
      <c r="U57" s="31">
        <f>SUM(gp_8110_access_hub_1)</f>
        <v>0</v>
      </c>
      <c r="V57" s="55"/>
      <c r="W57" s="31">
        <f>SUM(gp_8110_access_hub_2)</f>
        <v>0</v>
      </c>
      <c r="X57" s="55"/>
      <c r="Y57" s="31">
        <f>SUM(gp_8110_access_hub_3)</f>
        <v>0</v>
      </c>
      <c r="Z57" s="55"/>
      <c r="AA57" s="31">
        <f>SUM(gp_8110_spares)</f>
        <v>5077.8</v>
      </c>
      <c r="AB57" s="55"/>
      <c r="AC57" s="56">
        <f>SUMIF(L14:AB14,AC14,L57:AB57)</f>
        <v>80922.58</v>
      </c>
    </row>
    <row r="58" spans="1:33" ht="16.5" customHeight="1" thickBot="1" x14ac:dyDescent="0.4">
      <c r="A58" s="44" t="s">
        <v>139</v>
      </c>
      <c r="B58" s="44"/>
      <c r="C58" s="44"/>
      <c r="D58" s="44"/>
      <c r="E58" s="44"/>
      <c r="F58" s="44"/>
      <c r="G58" s="44"/>
      <c r="H58" s="44"/>
      <c r="I58" s="44"/>
      <c r="J58" s="44"/>
      <c r="K58" s="44"/>
      <c r="L58" s="45"/>
      <c r="M58" s="46"/>
      <c r="N58" s="45"/>
      <c r="O58" s="46"/>
      <c r="P58" s="45"/>
      <c r="Q58" s="46"/>
      <c r="R58" s="45"/>
      <c r="S58" s="46"/>
      <c r="T58" s="45"/>
      <c r="U58" s="46"/>
      <c r="V58" s="45"/>
      <c r="W58" s="46"/>
      <c r="X58" s="45"/>
      <c r="Y58" s="46"/>
      <c r="Z58" s="45"/>
      <c r="AA58" s="46"/>
      <c r="AB58" s="45"/>
      <c r="AC58" s="46"/>
    </row>
    <row r="59" spans="1:33" ht="17.25" customHeight="1" thickBot="1" x14ac:dyDescent="0.4">
      <c r="A59" s="47" t="s">
        <v>140</v>
      </c>
      <c r="B59" s="47"/>
      <c r="C59" s="47"/>
      <c r="D59" s="47"/>
      <c r="E59" s="47"/>
      <c r="F59" s="47"/>
      <c r="G59" s="47"/>
      <c r="H59" s="47"/>
      <c r="I59" s="47"/>
      <c r="J59" s="47"/>
      <c r="K59" s="47"/>
      <c r="L59" s="48"/>
      <c r="M59" s="49"/>
      <c r="N59" s="48"/>
      <c r="O59" s="49"/>
      <c r="P59" s="48"/>
      <c r="Q59" s="49"/>
      <c r="R59" s="48"/>
      <c r="S59" s="49"/>
      <c r="T59" s="48"/>
      <c r="U59" s="49"/>
      <c r="V59" s="48"/>
      <c r="W59" s="49"/>
      <c r="X59" s="48"/>
      <c r="Y59" s="49"/>
      <c r="Z59" s="48"/>
      <c r="AA59" s="49"/>
      <c r="AB59" s="48"/>
      <c r="AC59" s="49"/>
    </row>
    <row r="60" spans="1:33" x14ac:dyDescent="0.35">
      <c r="A60" s="50" t="s">
        <v>141</v>
      </c>
      <c r="B60" s="50"/>
      <c r="C60" s="50" t="s">
        <v>142</v>
      </c>
      <c r="D60" s="50"/>
      <c r="E60" s="51"/>
      <c r="F60" s="52">
        <v>0</v>
      </c>
      <c r="G60" s="52">
        <v>0</v>
      </c>
      <c r="H60" s="53">
        <v>1</v>
      </c>
      <c r="I60" s="112"/>
      <c r="J60" s="53">
        <v>83075.710000000006</v>
      </c>
      <c r="K60" s="53"/>
      <c r="L60" s="143"/>
      <c r="M60" s="144"/>
      <c r="N60" s="143">
        <v>1</v>
      </c>
      <c r="O60" s="144">
        <f>IFERROR(N60,0)*J60</f>
        <v>83075.710000000006</v>
      </c>
      <c r="P60" s="143">
        <v>0</v>
      </c>
      <c r="Q60" s="144">
        <f>IFERROR(P60,0)*J60</f>
        <v>0</v>
      </c>
      <c r="R60" s="143">
        <v>0</v>
      </c>
      <c r="S60" s="144">
        <f>IFERROR(R60,0)*J60</f>
        <v>0</v>
      </c>
      <c r="T60" s="143">
        <v>0</v>
      </c>
      <c r="U60" s="144">
        <f>IFERROR(T60,0)*J60</f>
        <v>0</v>
      </c>
      <c r="V60" s="143">
        <v>0</v>
      </c>
      <c r="W60" s="144">
        <f>IFERROR(V60,0)*J60</f>
        <v>0</v>
      </c>
      <c r="X60" s="143">
        <v>0</v>
      </c>
      <c r="Y60" s="144">
        <f>IFERROR(X60,0)*J60</f>
        <v>0</v>
      </c>
      <c r="Z60" s="143">
        <v>0</v>
      </c>
      <c r="AA60" s="144">
        <f>IFERROR(Z60,0)*J60</f>
        <v>0</v>
      </c>
      <c r="AB60" s="113">
        <f>SUMIF(L14:AA14,AB14,L60:AA60)</f>
        <v>1</v>
      </c>
      <c r="AC60" s="114">
        <f>SUMIF(L14:AB14,AC14,L60:AB60)</f>
        <v>83075.710000000006</v>
      </c>
      <c r="AG60" s="115"/>
    </row>
    <row r="61" spans="1:33" s="110" customFormat="1" x14ac:dyDescent="0.35">
      <c r="A61" s="54" t="s">
        <v>143</v>
      </c>
      <c r="B61" s="54"/>
      <c r="C61" s="54"/>
      <c r="D61" s="54"/>
      <c r="E61" s="54"/>
      <c r="F61" s="54"/>
      <c r="G61" s="54"/>
      <c r="H61" s="54"/>
      <c r="I61" s="54"/>
      <c r="J61" s="54"/>
      <c r="K61" s="54"/>
      <c r="L61" s="55"/>
      <c r="M61" s="31"/>
      <c r="N61" s="55"/>
      <c r="O61" s="31">
        <f>SUM(gp_mcp_vbng)</f>
        <v>83075.710000000006</v>
      </c>
      <c r="P61" s="55"/>
      <c r="Q61" s="31">
        <f>SUM(gp_mcp_core)</f>
        <v>0</v>
      </c>
      <c r="R61" s="55"/>
      <c r="S61" s="31">
        <f>SUM(gp_mcp_cpe)</f>
        <v>0</v>
      </c>
      <c r="T61" s="55"/>
      <c r="U61" s="31">
        <f>SUM(gp_mcp_access_hub_1)</f>
        <v>0</v>
      </c>
      <c r="V61" s="55"/>
      <c r="W61" s="31">
        <f>SUM(gp_mcp_access_hub_2)</f>
        <v>0</v>
      </c>
      <c r="X61" s="55"/>
      <c r="Y61" s="31">
        <f>SUM(gp_mcp_access_hub_3)</f>
        <v>0</v>
      </c>
      <c r="Z61" s="55"/>
      <c r="AA61" s="31">
        <f>SUM(gp_mcp_spares)</f>
        <v>0</v>
      </c>
      <c r="AB61" s="55"/>
      <c r="AC61" s="56">
        <f>SUMIF(L14:AB14,AC14,L61:AB61)</f>
        <v>83075.710000000006</v>
      </c>
      <c r="AD61"/>
      <c r="AE61"/>
      <c r="AF61"/>
    </row>
    <row r="62" spans="1:33" s="110" customFormat="1" x14ac:dyDescent="0.35">
      <c r="A62" s="44" t="s">
        <v>144</v>
      </c>
      <c r="B62" s="44"/>
      <c r="C62" s="44"/>
      <c r="D62" s="44"/>
      <c r="E62" s="44"/>
      <c r="F62" s="44"/>
      <c r="G62" s="44"/>
      <c r="H62" s="44"/>
      <c r="I62" s="44"/>
      <c r="J62" s="44"/>
      <c r="K62" s="44"/>
      <c r="L62" s="45"/>
      <c r="M62" s="46"/>
      <c r="N62" s="45"/>
      <c r="O62" s="46"/>
      <c r="P62" s="45"/>
      <c r="Q62" s="46"/>
      <c r="R62" s="45"/>
      <c r="S62" s="46"/>
      <c r="T62" s="45"/>
      <c r="U62" s="46"/>
      <c r="V62" s="45"/>
      <c r="W62" s="46"/>
      <c r="X62" s="45"/>
      <c r="Y62" s="46"/>
      <c r="Z62" s="45"/>
      <c r="AA62" s="46"/>
      <c r="AB62" s="45"/>
      <c r="AC62" s="46"/>
      <c r="AD62"/>
      <c r="AE62"/>
      <c r="AF62"/>
      <c r="AG62"/>
    </row>
    <row r="63" spans="1:33" s="110" customFormat="1" x14ac:dyDescent="0.35">
      <c r="A63" s="47" t="s">
        <v>145</v>
      </c>
      <c r="B63" s="47"/>
      <c r="C63" s="47"/>
      <c r="D63" s="47"/>
      <c r="E63" s="47"/>
      <c r="F63" s="47"/>
      <c r="G63" s="47"/>
      <c r="H63" s="47"/>
      <c r="I63" s="47"/>
      <c r="J63" s="47"/>
      <c r="K63" s="47"/>
      <c r="L63" s="48"/>
      <c r="M63" s="49"/>
      <c r="N63" s="48"/>
      <c r="O63" s="49"/>
      <c r="P63" s="48"/>
      <c r="Q63" s="49"/>
      <c r="R63" s="48"/>
      <c r="S63" s="49"/>
      <c r="T63" s="48"/>
      <c r="U63" s="49"/>
      <c r="V63" s="48"/>
      <c r="W63" s="49"/>
      <c r="X63" s="48"/>
      <c r="Y63" s="49"/>
      <c r="Z63" s="48"/>
      <c r="AA63" s="49"/>
      <c r="AB63" s="48"/>
      <c r="AC63" s="49"/>
      <c r="AD63"/>
      <c r="AE63"/>
      <c r="AF63"/>
    </row>
    <row r="64" spans="1:33" s="110" customFormat="1" x14ac:dyDescent="0.35">
      <c r="A64" s="50" t="s">
        <v>146</v>
      </c>
      <c r="B64" s="50"/>
      <c r="C64" s="50" t="s">
        <v>147</v>
      </c>
      <c r="D64" s="50"/>
      <c r="E64" s="51"/>
      <c r="F64" s="52">
        <v>0</v>
      </c>
      <c r="G64" s="52">
        <v>0</v>
      </c>
      <c r="H64" s="53">
        <v>3333.33</v>
      </c>
      <c r="I64" s="112">
        <f>(H64 -J64) /H64*100</f>
        <v>63.999963999964002</v>
      </c>
      <c r="J64" s="53">
        <v>1200</v>
      </c>
      <c r="K64" s="53"/>
      <c r="L64" s="143"/>
      <c r="M64" s="144"/>
      <c r="N64" s="143">
        <v>1</v>
      </c>
      <c r="O64" s="144">
        <f>IFERROR(N64,0)*J64</f>
        <v>1200</v>
      </c>
      <c r="P64" s="143">
        <v>0</v>
      </c>
      <c r="Q64" s="144">
        <f>IFERROR(P64,0)*J64</f>
        <v>0</v>
      </c>
      <c r="R64" s="143">
        <v>0</v>
      </c>
      <c r="S64" s="144">
        <f>IFERROR(R64,0)*J64</f>
        <v>0</v>
      </c>
      <c r="T64" s="143">
        <v>0</v>
      </c>
      <c r="U64" s="144">
        <f>IFERROR(T64,0)*J64</f>
        <v>0</v>
      </c>
      <c r="V64" s="143">
        <v>0</v>
      </c>
      <c r="W64" s="144">
        <f>IFERROR(V64,0)*J64</f>
        <v>0</v>
      </c>
      <c r="X64" s="143">
        <v>0</v>
      </c>
      <c r="Y64" s="144">
        <f>IFERROR(X64,0)*J64</f>
        <v>0</v>
      </c>
      <c r="Z64" s="143">
        <v>0</v>
      </c>
      <c r="AA64" s="144">
        <f>IFERROR(Z64,0)*J64</f>
        <v>0</v>
      </c>
      <c r="AB64" s="113">
        <f>SUMIF(L14:AA14,AB14,L64:AA64)</f>
        <v>1</v>
      </c>
      <c r="AC64" s="114">
        <f>SUMIF(L14:AB14,AC14,L64:AB64)</f>
        <v>1200</v>
      </c>
      <c r="AD64"/>
      <c r="AE64"/>
      <c r="AF64"/>
      <c r="AG64" s="115"/>
    </row>
    <row r="65" spans="1:33" s="110" customFormat="1" x14ac:dyDescent="0.35">
      <c r="A65" s="47" t="s">
        <v>148</v>
      </c>
      <c r="B65" s="47"/>
      <c r="C65" s="47"/>
      <c r="D65" s="47"/>
      <c r="E65" s="47"/>
      <c r="F65" s="47"/>
      <c r="G65" s="47"/>
      <c r="H65" s="47"/>
      <c r="I65" s="47"/>
      <c r="J65" s="47"/>
      <c r="K65" s="47"/>
      <c r="L65" s="48"/>
      <c r="M65" s="49"/>
      <c r="N65" s="48"/>
      <c r="O65" s="49"/>
      <c r="P65" s="48"/>
      <c r="Q65" s="49"/>
      <c r="R65" s="48"/>
      <c r="S65" s="49"/>
      <c r="T65" s="48"/>
      <c r="U65" s="49"/>
      <c r="V65" s="48"/>
      <c r="W65" s="49"/>
      <c r="X65" s="48"/>
      <c r="Y65" s="49"/>
      <c r="Z65" s="48"/>
      <c r="AA65" s="49"/>
      <c r="AB65" s="48"/>
      <c r="AC65" s="49"/>
      <c r="AD65"/>
      <c r="AE65"/>
      <c r="AF65"/>
    </row>
    <row r="66" spans="1:33" s="117" customFormat="1" x14ac:dyDescent="0.35">
      <c r="A66" s="50" t="s">
        <v>149</v>
      </c>
      <c r="B66" s="50"/>
      <c r="C66" s="50" t="s">
        <v>150</v>
      </c>
      <c r="D66" s="50"/>
      <c r="E66" s="51"/>
      <c r="F66" s="52">
        <v>0</v>
      </c>
      <c r="G66" s="52">
        <v>0</v>
      </c>
      <c r="H66" s="53">
        <v>13333.33</v>
      </c>
      <c r="I66" s="112">
        <f>(H66 -J66) /H66*100</f>
        <v>63.999990999997749</v>
      </c>
      <c r="J66" s="53">
        <v>4800</v>
      </c>
      <c r="K66" s="53"/>
      <c r="L66" s="143"/>
      <c r="M66" s="144"/>
      <c r="N66" s="143">
        <v>1</v>
      </c>
      <c r="O66" s="144">
        <f>IFERROR(N66,0)*J66</f>
        <v>4800</v>
      </c>
      <c r="P66" s="143">
        <v>0</v>
      </c>
      <c r="Q66" s="144">
        <f>IFERROR(P66,0)*J66</f>
        <v>0</v>
      </c>
      <c r="R66" s="143">
        <v>0</v>
      </c>
      <c r="S66" s="144">
        <f>IFERROR(R66,0)*J66</f>
        <v>0</v>
      </c>
      <c r="T66" s="143">
        <v>0</v>
      </c>
      <c r="U66" s="144">
        <f>IFERROR(T66,0)*J66</f>
        <v>0</v>
      </c>
      <c r="V66" s="143">
        <v>0</v>
      </c>
      <c r="W66" s="144">
        <f>IFERROR(V66,0)*J66</f>
        <v>0</v>
      </c>
      <c r="X66" s="143">
        <v>0</v>
      </c>
      <c r="Y66" s="144">
        <f>IFERROR(X66,0)*J66</f>
        <v>0</v>
      </c>
      <c r="Z66" s="143">
        <v>0</v>
      </c>
      <c r="AA66" s="144">
        <f>IFERROR(Z66,0)*J66</f>
        <v>0</v>
      </c>
      <c r="AB66" s="113">
        <f>SUMIF(L14:AA14,AB14,L66:AA66)</f>
        <v>1</v>
      </c>
      <c r="AC66" s="114">
        <f>SUMIF(L14:AB14,AC14,L66:AB66)</f>
        <v>4800</v>
      </c>
      <c r="AD66"/>
      <c r="AE66"/>
      <c r="AF66"/>
      <c r="AG66" s="115"/>
    </row>
    <row r="67" spans="1:33" s="111" customFormat="1" x14ac:dyDescent="0.35">
      <c r="A67" s="54" t="s">
        <v>151</v>
      </c>
      <c r="B67" s="54"/>
      <c r="C67" s="54"/>
      <c r="D67" s="54"/>
      <c r="E67" s="54"/>
      <c r="F67" s="54"/>
      <c r="G67" s="54"/>
      <c r="H67" s="54"/>
      <c r="I67" s="54"/>
      <c r="J67" s="54"/>
      <c r="K67" s="54"/>
      <c r="L67" s="55"/>
      <c r="M67" s="31"/>
      <c r="N67" s="55"/>
      <c r="O67" s="31">
        <f>SUM(gp_sd_edge_ops_manager_vbng)</f>
        <v>6000</v>
      </c>
      <c r="P67" s="55"/>
      <c r="Q67" s="31">
        <f>SUM(gp_sd_edge_ops_manager_core)</f>
        <v>0</v>
      </c>
      <c r="R67" s="55"/>
      <c r="S67" s="31">
        <f>SUM(gp_sd_edge_ops_manager_cpe)</f>
        <v>0</v>
      </c>
      <c r="T67" s="55"/>
      <c r="U67" s="31">
        <f>SUM(gp_sd_edge_ops_manager_access_hub_1)</f>
        <v>0</v>
      </c>
      <c r="V67" s="55"/>
      <c r="W67" s="31">
        <f>SUM(gp_sd_edge_ops_manager_access_hub_2)</f>
        <v>0</v>
      </c>
      <c r="X67" s="55"/>
      <c r="Y67" s="31">
        <f>SUM(gp_sd_edge_ops_manager_access_hub_3)</f>
        <v>0</v>
      </c>
      <c r="Z67" s="55"/>
      <c r="AA67" s="31">
        <f>SUM(gp_sd_edge_ops_manager_spares)</f>
        <v>0</v>
      </c>
      <c r="AB67" s="55"/>
      <c r="AC67" s="56">
        <f>SUMIF(L14:AB14,AC14,L67:AB67)</f>
        <v>6000</v>
      </c>
      <c r="AD67"/>
      <c r="AE67"/>
      <c r="AF67"/>
    </row>
    <row r="68" spans="1:33" s="118" customFormat="1" ht="17.25" customHeight="1" x14ac:dyDescent="0.35">
      <c r="A68" s="44" t="s">
        <v>152</v>
      </c>
      <c r="B68" s="44"/>
      <c r="C68" s="44"/>
      <c r="D68" s="44"/>
      <c r="E68" s="44"/>
      <c r="F68" s="44"/>
      <c r="G68" s="44"/>
      <c r="H68" s="44"/>
      <c r="I68" s="44"/>
      <c r="J68" s="44"/>
      <c r="K68" s="44"/>
      <c r="L68" s="45"/>
      <c r="M68" s="46"/>
      <c r="N68" s="45"/>
      <c r="O68" s="46"/>
      <c r="P68" s="45"/>
      <c r="Q68" s="46"/>
      <c r="R68" s="45"/>
      <c r="S68" s="46"/>
      <c r="T68" s="45"/>
      <c r="U68" s="46"/>
      <c r="V68" s="45"/>
      <c r="W68" s="46"/>
      <c r="X68" s="45"/>
      <c r="Y68" s="46"/>
      <c r="Z68" s="45"/>
      <c r="AA68" s="46"/>
      <c r="AB68" s="45"/>
      <c r="AC68" s="46"/>
      <c r="AD68"/>
      <c r="AE68"/>
      <c r="AF68"/>
      <c r="AG68"/>
    </row>
    <row r="69" spans="1:33" x14ac:dyDescent="0.35">
      <c r="A69" s="47" t="s">
        <v>153</v>
      </c>
      <c r="B69" s="47"/>
      <c r="C69" s="47"/>
      <c r="D69" s="47"/>
      <c r="E69" s="47"/>
      <c r="F69" s="47"/>
      <c r="G69" s="47"/>
      <c r="H69" s="47"/>
      <c r="I69" s="47"/>
      <c r="J69" s="47"/>
      <c r="K69" s="47"/>
      <c r="L69" s="48"/>
      <c r="M69" s="49"/>
      <c r="N69" s="48"/>
      <c r="O69" s="49"/>
      <c r="P69" s="48"/>
      <c r="Q69" s="49"/>
      <c r="R69" s="48"/>
      <c r="S69" s="49"/>
      <c r="T69" s="48"/>
      <c r="U69" s="49"/>
      <c r="V69" s="48"/>
      <c r="W69" s="49"/>
      <c r="X69" s="48"/>
      <c r="Y69" s="49"/>
      <c r="Z69" s="48"/>
      <c r="AA69" s="49"/>
      <c r="AB69" s="48"/>
      <c r="AC69" s="49"/>
    </row>
    <row r="70" spans="1:33" x14ac:dyDescent="0.35">
      <c r="A70" s="50" t="s">
        <v>154</v>
      </c>
      <c r="B70" s="50"/>
      <c r="C70" s="50" t="s">
        <v>155</v>
      </c>
      <c r="D70" s="50"/>
      <c r="E70" s="51"/>
      <c r="F70" s="52">
        <v>0</v>
      </c>
      <c r="G70" s="52">
        <v>0</v>
      </c>
      <c r="H70" s="53">
        <v>13333.33</v>
      </c>
      <c r="I70" s="112">
        <f>(H70 -J70) /H70*100</f>
        <v>39.999984999996251</v>
      </c>
      <c r="J70" s="53">
        <v>8000</v>
      </c>
      <c r="K70" s="53"/>
      <c r="L70" s="143"/>
      <c r="M70" s="144"/>
      <c r="N70" s="143">
        <v>2</v>
      </c>
      <c r="O70" s="144">
        <f>IFERROR(N70,0)*J70</f>
        <v>16000</v>
      </c>
      <c r="P70" s="143">
        <v>0</v>
      </c>
      <c r="Q70" s="144">
        <f>IFERROR(P70,0)*J70</f>
        <v>0</v>
      </c>
      <c r="R70" s="143">
        <v>0</v>
      </c>
      <c r="S70" s="144">
        <f>IFERROR(R70,0)*J70</f>
        <v>0</v>
      </c>
      <c r="T70" s="143">
        <v>0</v>
      </c>
      <c r="U70" s="144">
        <f>IFERROR(T70,0)*J70</f>
        <v>0</v>
      </c>
      <c r="V70" s="143">
        <v>0</v>
      </c>
      <c r="W70" s="144">
        <f>IFERROR(V70,0)*J70</f>
        <v>0</v>
      </c>
      <c r="X70" s="143">
        <v>0</v>
      </c>
      <c r="Y70" s="144">
        <f>IFERROR(X70,0)*J70</f>
        <v>0</v>
      </c>
      <c r="Z70" s="143">
        <v>0</v>
      </c>
      <c r="AA70" s="144">
        <f>IFERROR(Z70,0)*J70</f>
        <v>0</v>
      </c>
      <c r="AB70" s="113">
        <f>SUMIF(L14:AA14,AB14,L70:AA70)</f>
        <v>2</v>
      </c>
      <c r="AC70" s="114">
        <f>SUMIF(L14:AB14,AC14,L70:AB70)</f>
        <v>16000</v>
      </c>
      <c r="AG70" s="115"/>
    </row>
    <row r="71" spans="1:33" x14ac:dyDescent="0.35">
      <c r="A71" s="47" t="s">
        <v>156</v>
      </c>
      <c r="B71" s="47"/>
      <c r="C71" s="47"/>
      <c r="D71" s="47"/>
      <c r="E71" s="47"/>
      <c r="F71" s="47"/>
      <c r="G71" s="47"/>
      <c r="H71" s="47"/>
      <c r="I71" s="47"/>
      <c r="J71" s="47"/>
      <c r="K71" s="47"/>
      <c r="L71" s="48"/>
      <c r="M71" s="49"/>
      <c r="N71" s="48"/>
      <c r="O71" s="49"/>
      <c r="P71" s="48"/>
      <c r="Q71" s="49"/>
      <c r="R71" s="48"/>
      <c r="S71" s="49"/>
      <c r="T71" s="48"/>
      <c r="U71" s="49"/>
      <c r="V71" s="48"/>
      <c r="W71" s="49"/>
      <c r="X71" s="48"/>
      <c r="Y71" s="49"/>
      <c r="Z71" s="48"/>
      <c r="AA71" s="49"/>
      <c r="AB71" s="48"/>
      <c r="AC71" s="49"/>
    </row>
    <row r="72" spans="1:33" x14ac:dyDescent="0.35">
      <c r="A72" s="50" t="s">
        <v>157</v>
      </c>
      <c r="B72" s="50"/>
      <c r="C72" s="50" t="s">
        <v>158</v>
      </c>
      <c r="D72" s="50"/>
      <c r="E72" s="51"/>
      <c r="F72" s="52">
        <v>0</v>
      </c>
      <c r="G72" s="52">
        <v>0</v>
      </c>
      <c r="H72" s="53">
        <v>179.17</v>
      </c>
      <c r="I72" s="112">
        <f>(H72 -J72) /H72*100</f>
        <v>40.001116258302169</v>
      </c>
      <c r="J72" s="53">
        <v>107.5</v>
      </c>
      <c r="K72" s="53"/>
      <c r="L72" s="143"/>
      <c r="M72" s="144"/>
      <c r="N72" s="143">
        <v>160</v>
      </c>
      <c r="O72" s="144">
        <f>IFERROR(N72,0)*J72</f>
        <v>17200</v>
      </c>
      <c r="P72" s="143">
        <v>0</v>
      </c>
      <c r="Q72" s="144">
        <f>IFERROR(P72,0)*J72</f>
        <v>0</v>
      </c>
      <c r="R72" s="143">
        <v>0</v>
      </c>
      <c r="S72" s="144">
        <f>IFERROR(R72,0)*J72</f>
        <v>0</v>
      </c>
      <c r="T72" s="143">
        <v>0</v>
      </c>
      <c r="U72" s="144">
        <f>IFERROR(T72,0)*J72</f>
        <v>0</v>
      </c>
      <c r="V72" s="143">
        <v>0</v>
      </c>
      <c r="W72" s="144">
        <f>IFERROR(V72,0)*J72</f>
        <v>0</v>
      </c>
      <c r="X72" s="143">
        <v>0</v>
      </c>
      <c r="Y72" s="144">
        <f>IFERROR(X72,0)*J72</f>
        <v>0</v>
      </c>
      <c r="Z72" s="143">
        <v>0</v>
      </c>
      <c r="AA72" s="144">
        <f>IFERROR(Z72,0)*J72</f>
        <v>0</v>
      </c>
      <c r="AB72" s="113">
        <f>SUMIF(L14:AA14,AB14,L72:AA72)</f>
        <v>160</v>
      </c>
      <c r="AC72" s="114">
        <f>SUMIF(L14:AB14,AC14,L72:AB72)</f>
        <v>17200</v>
      </c>
      <c r="AG72" s="115"/>
    </row>
    <row r="73" spans="1:33" ht="12.75" customHeight="1" x14ac:dyDescent="0.35">
      <c r="A73" s="47" t="s">
        <v>159</v>
      </c>
      <c r="B73" s="47"/>
      <c r="C73" s="47"/>
      <c r="D73" s="47"/>
      <c r="E73" s="47"/>
      <c r="F73" s="47"/>
      <c r="G73" s="47"/>
      <c r="H73" s="47"/>
      <c r="I73" s="47"/>
      <c r="J73" s="47"/>
      <c r="K73" s="47"/>
      <c r="L73" s="48"/>
      <c r="M73" s="49"/>
      <c r="N73" s="48"/>
      <c r="O73" s="49"/>
      <c r="P73" s="48"/>
      <c r="Q73" s="49"/>
      <c r="R73" s="48"/>
      <c r="S73" s="49"/>
      <c r="T73" s="48"/>
      <c r="U73" s="49"/>
      <c r="V73" s="48"/>
      <c r="W73" s="49"/>
      <c r="X73" s="48"/>
      <c r="Y73" s="49"/>
      <c r="Z73" s="48"/>
      <c r="AA73" s="49"/>
      <c r="AB73" s="48"/>
      <c r="AC73" s="49"/>
    </row>
    <row r="74" spans="1:33" x14ac:dyDescent="0.35">
      <c r="A74" s="50" t="s">
        <v>160</v>
      </c>
      <c r="B74" s="50"/>
      <c r="C74" s="50" t="s">
        <v>161</v>
      </c>
      <c r="D74" s="50"/>
      <c r="E74" s="51"/>
      <c r="F74" s="52">
        <v>0</v>
      </c>
      <c r="G74" s="52">
        <v>0</v>
      </c>
      <c r="H74" s="53">
        <v>2.84</v>
      </c>
      <c r="I74" s="112">
        <f>(H74 -J74) /H74*100</f>
        <v>40.140845070422529</v>
      </c>
      <c r="J74" s="53">
        <v>1.7</v>
      </c>
      <c r="K74" s="53"/>
      <c r="L74" s="143"/>
      <c r="M74" s="144"/>
      <c r="N74" s="143">
        <v>9750</v>
      </c>
      <c r="O74" s="144">
        <f>IFERROR(N74,0)*J74</f>
        <v>16575</v>
      </c>
      <c r="P74" s="143">
        <v>0</v>
      </c>
      <c r="Q74" s="144">
        <f>IFERROR(P74,0)*J74</f>
        <v>0</v>
      </c>
      <c r="R74" s="143">
        <v>0</v>
      </c>
      <c r="S74" s="144">
        <f>IFERROR(R74,0)*J74</f>
        <v>0</v>
      </c>
      <c r="T74" s="143">
        <v>0</v>
      </c>
      <c r="U74" s="144">
        <f>IFERROR(T74,0)*J74</f>
        <v>0</v>
      </c>
      <c r="V74" s="143">
        <v>0</v>
      </c>
      <c r="W74" s="144">
        <f>IFERROR(V74,0)*J74</f>
        <v>0</v>
      </c>
      <c r="X74" s="143">
        <v>0</v>
      </c>
      <c r="Y74" s="144">
        <f>IFERROR(X74,0)*J74</f>
        <v>0</v>
      </c>
      <c r="Z74" s="143">
        <v>0</v>
      </c>
      <c r="AA74" s="144">
        <f>IFERROR(Z74,0)*J74</f>
        <v>0</v>
      </c>
      <c r="AB74" s="113">
        <f>SUMIF(L14:AA14,AB14,L74:AA74)</f>
        <v>9750</v>
      </c>
      <c r="AC74" s="114">
        <f>SUMIF(L14:AB14,AC14,L74:AB74)</f>
        <v>16575</v>
      </c>
      <c r="AG74" s="115"/>
    </row>
    <row r="75" spans="1:33" x14ac:dyDescent="0.35">
      <c r="A75" s="47" t="s">
        <v>162</v>
      </c>
      <c r="B75" s="47"/>
      <c r="C75" s="47"/>
      <c r="D75" s="47"/>
      <c r="E75" s="47"/>
      <c r="F75" s="47"/>
      <c r="G75" s="47"/>
      <c r="H75" s="47"/>
      <c r="I75" s="47"/>
      <c r="J75" s="47"/>
      <c r="K75" s="47"/>
      <c r="L75" s="48"/>
      <c r="M75" s="49"/>
      <c r="N75" s="48"/>
      <c r="O75" s="49"/>
      <c r="P75" s="48"/>
      <c r="Q75" s="49"/>
      <c r="R75" s="48"/>
      <c r="S75" s="49"/>
      <c r="T75" s="48"/>
      <c r="U75" s="49"/>
      <c r="V75" s="48"/>
      <c r="W75" s="49"/>
      <c r="X75" s="48"/>
      <c r="Y75" s="49"/>
      <c r="Z75" s="48"/>
      <c r="AA75" s="49"/>
      <c r="AB75" s="48"/>
      <c r="AC75" s="49"/>
    </row>
    <row r="76" spans="1:33" ht="15" customHeight="1" x14ac:dyDescent="0.35">
      <c r="A76" s="50" t="s">
        <v>163</v>
      </c>
      <c r="B76" s="50"/>
      <c r="C76" s="50" t="s">
        <v>164</v>
      </c>
      <c r="D76" s="50"/>
      <c r="E76" s="51"/>
      <c r="F76" s="52">
        <v>0</v>
      </c>
      <c r="G76" s="52">
        <v>0</v>
      </c>
      <c r="H76" s="53">
        <v>5.27</v>
      </c>
      <c r="I76" s="112">
        <f>(H76 -J76) /H76*100</f>
        <v>40.037950664136609</v>
      </c>
      <c r="J76" s="53">
        <v>3.16</v>
      </c>
      <c r="K76" s="53"/>
      <c r="L76" s="143"/>
      <c r="M76" s="144"/>
      <c r="N76" s="143">
        <v>9750</v>
      </c>
      <c r="O76" s="144">
        <f>IFERROR(N76,0)*J76</f>
        <v>30810</v>
      </c>
      <c r="P76" s="143">
        <v>0</v>
      </c>
      <c r="Q76" s="144">
        <f>IFERROR(P76,0)*J76</f>
        <v>0</v>
      </c>
      <c r="R76" s="143">
        <v>0</v>
      </c>
      <c r="S76" s="144">
        <f>IFERROR(R76,0)*J76</f>
        <v>0</v>
      </c>
      <c r="T76" s="143">
        <v>0</v>
      </c>
      <c r="U76" s="144">
        <f>IFERROR(T76,0)*J76</f>
        <v>0</v>
      </c>
      <c r="V76" s="143">
        <v>0</v>
      </c>
      <c r="W76" s="144">
        <f>IFERROR(V76,0)*J76</f>
        <v>0</v>
      </c>
      <c r="X76" s="143">
        <v>0</v>
      </c>
      <c r="Y76" s="144">
        <f>IFERROR(X76,0)*J76</f>
        <v>0</v>
      </c>
      <c r="Z76" s="143">
        <v>0</v>
      </c>
      <c r="AA76" s="144">
        <f>IFERROR(Z76,0)*J76</f>
        <v>0</v>
      </c>
      <c r="AB76" s="113">
        <f>SUMIF(L14:AA14,AB14,L76:AA76)</f>
        <v>9750</v>
      </c>
      <c r="AC76" s="114">
        <f>SUMIF(L14:AB14,AC14,L76:AB76)</f>
        <v>30810</v>
      </c>
      <c r="AG76" s="115"/>
    </row>
    <row r="77" spans="1:33" x14ac:dyDescent="0.35">
      <c r="A77" s="47" t="s">
        <v>165</v>
      </c>
      <c r="B77" s="47"/>
      <c r="C77" s="47"/>
      <c r="D77" s="47"/>
      <c r="E77" s="47"/>
      <c r="F77" s="47"/>
      <c r="G77" s="47"/>
      <c r="H77" s="47"/>
      <c r="I77" s="47"/>
      <c r="J77" s="47"/>
      <c r="K77" s="47"/>
      <c r="L77" s="48"/>
      <c r="M77" s="49"/>
      <c r="N77" s="48"/>
      <c r="O77" s="49"/>
      <c r="P77" s="48"/>
      <c r="Q77" s="49"/>
      <c r="R77" s="48"/>
      <c r="S77" s="49"/>
      <c r="T77" s="48"/>
      <c r="U77" s="49"/>
      <c r="V77" s="48"/>
      <c r="W77" s="49"/>
      <c r="X77" s="48"/>
      <c r="Y77" s="49"/>
      <c r="Z77" s="48"/>
      <c r="AA77" s="49"/>
      <c r="AB77" s="48"/>
      <c r="AC77" s="49"/>
    </row>
    <row r="78" spans="1:33" x14ac:dyDescent="0.35">
      <c r="A78" s="50" t="s">
        <v>166</v>
      </c>
      <c r="B78" s="50"/>
      <c r="C78" s="50" t="s">
        <v>167</v>
      </c>
      <c r="D78" s="50"/>
      <c r="E78" s="51"/>
      <c r="F78" s="52">
        <v>0</v>
      </c>
      <c r="G78" s="52">
        <v>0</v>
      </c>
      <c r="H78" s="53">
        <v>1125</v>
      </c>
      <c r="I78" s="112">
        <f>(H78 -J78) /H78*100</f>
        <v>20</v>
      </c>
      <c r="J78" s="53">
        <v>900</v>
      </c>
      <c r="K78" s="53"/>
      <c r="L78" s="143"/>
      <c r="M78" s="144"/>
      <c r="N78" s="143">
        <v>80</v>
      </c>
      <c r="O78" s="144">
        <f>IFERROR(N78,0)*J78</f>
        <v>72000</v>
      </c>
      <c r="P78" s="143">
        <v>0</v>
      </c>
      <c r="Q78" s="144">
        <f>IFERROR(P78,0)*J78</f>
        <v>0</v>
      </c>
      <c r="R78" s="143">
        <v>0</v>
      </c>
      <c r="S78" s="144">
        <f>IFERROR(R78,0)*J78</f>
        <v>0</v>
      </c>
      <c r="T78" s="143">
        <v>0</v>
      </c>
      <c r="U78" s="144">
        <f>IFERROR(T78,0)*J78</f>
        <v>0</v>
      </c>
      <c r="V78" s="143">
        <v>0</v>
      </c>
      <c r="W78" s="144">
        <f>IFERROR(V78,0)*J78</f>
        <v>0</v>
      </c>
      <c r="X78" s="143">
        <v>0</v>
      </c>
      <c r="Y78" s="144">
        <f>IFERROR(X78,0)*J78</f>
        <v>0</v>
      </c>
      <c r="Z78" s="143">
        <v>0</v>
      </c>
      <c r="AA78" s="144">
        <f>IFERROR(Z78,0)*J78</f>
        <v>0</v>
      </c>
      <c r="AB78" s="113">
        <f>SUMIF(L14:AA14,AB14,L78:AA78)</f>
        <v>80</v>
      </c>
      <c r="AC78" s="114">
        <f>SUMIF(L14:AB14,AC14,L78:AB78)</f>
        <v>72000</v>
      </c>
      <c r="AG78" s="115"/>
    </row>
    <row r="79" spans="1:33" x14ac:dyDescent="0.35">
      <c r="A79" s="54" t="s">
        <v>168</v>
      </c>
      <c r="B79" s="54"/>
      <c r="C79" s="54"/>
      <c r="D79" s="54"/>
      <c r="E79" s="54"/>
      <c r="F79" s="54"/>
      <c r="G79" s="54"/>
      <c r="H79" s="54"/>
      <c r="I79" s="54"/>
      <c r="J79" s="54"/>
      <c r="K79" s="54"/>
      <c r="L79" s="55"/>
      <c r="M79" s="31"/>
      <c r="N79" s="55"/>
      <c r="O79" s="31">
        <f>SUM(gp_sd_edge_vbng_vbng)</f>
        <v>152585</v>
      </c>
      <c r="P79" s="55"/>
      <c r="Q79" s="31">
        <f>SUM(gp_sd_edge_vbng_core)</f>
        <v>0</v>
      </c>
      <c r="R79" s="55"/>
      <c r="S79" s="31">
        <f>SUM(gp_sd_edge_vbng_cpe)</f>
        <v>0</v>
      </c>
      <c r="T79" s="55"/>
      <c r="U79" s="31">
        <f>SUM(gp_sd_edge_vbng_access_hub_1)</f>
        <v>0</v>
      </c>
      <c r="V79" s="55"/>
      <c r="W79" s="31">
        <f>SUM(gp_sd_edge_vbng_access_hub_2)</f>
        <v>0</v>
      </c>
      <c r="X79" s="55"/>
      <c r="Y79" s="31">
        <f>SUM(gp_sd_edge_vbng_access_hub_3)</f>
        <v>0</v>
      </c>
      <c r="Z79" s="55"/>
      <c r="AA79" s="31">
        <f>SUM(gp_sd_edge_vbng_spares)</f>
        <v>0</v>
      </c>
      <c r="AB79" s="55"/>
      <c r="AC79" s="56">
        <f>SUMIF(L14:AB14,AC14,L79:AB79)</f>
        <v>152585</v>
      </c>
    </row>
    <row r="80" spans="1:33" x14ac:dyDescent="0.35">
      <c r="A80" s="26" t="s">
        <v>169</v>
      </c>
      <c r="B80" s="26"/>
      <c r="C80" s="26"/>
      <c r="D80" s="26"/>
      <c r="E80" s="26"/>
      <c r="F80" s="26"/>
      <c r="G80" s="26"/>
      <c r="H80" s="26"/>
      <c r="I80" s="26"/>
      <c r="J80" s="26"/>
      <c r="K80" s="26"/>
      <c r="L80" s="14"/>
      <c r="M80" s="15"/>
      <c r="N80" s="14" t="s">
        <v>170</v>
      </c>
      <c r="O80" s="15">
        <f>SUM(gp_site_vbng_total)</f>
        <v>241660.71000000002</v>
      </c>
      <c r="P80" s="14" t="s">
        <v>170</v>
      </c>
      <c r="Q80" s="15">
        <f>SUM(gp_site_core_total)</f>
        <v>75844.78</v>
      </c>
      <c r="R80" s="14" t="s">
        <v>170</v>
      </c>
      <c r="S80" s="15">
        <f>SUM(gp_site_cpe_total)</f>
        <v>1933500</v>
      </c>
      <c r="T80" s="14" t="s">
        <v>170</v>
      </c>
      <c r="U80" s="15">
        <f>SUM(gp_site_access_hub_1_total)</f>
        <v>195992.68</v>
      </c>
      <c r="V80" s="14" t="s">
        <v>170</v>
      </c>
      <c r="W80" s="15">
        <f>SUM(gp_site_access_hub_2_total)</f>
        <v>195992.68</v>
      </c>
      <c r="X80" s="14" t="s">
        <v>170</v>
      </c>
      <c r="Y80" s="15">
        <f>SUM(gp_site_access_hub_3_total)</f>
        <v>195992.68</v>
      </c>
      <c r="Z80" s="14" t="s">
        <v>170</v>
      </c>
      <c r="AA80" s="15">
        <f>SUM(gp_site_spares_total)</f>
        <v>13282.36</v>
      </c>
      <c r="AB80" s="14"/>
      <c r="AC80" s="58">
        <f>SUMIF(L14:AB14,AC14,L80:AB80)</f>
        <v>2852265.8900000006</v>
      </c>
      <c r="AG80" s="59"/>
    </row>
    <row r="81" spans="1:32" x14ac:dyDescent="0.35">
      <c r="A81" s="82"/>
      <c r="B81" s="116"/>
      <c r="C81" s="116"/>
      <c r="D81" s="116"/>
      <c r="E81" s="116"/>
      <c r="F81" s="116"/>
      <c r="G81" s="116"/>
      <c r="H81" s="116"/>
      <c r="I81" s="116"/>
      <c r="J81" s="116"/>
      <c r="K81" s="116"/>
      <c r="L81" s="145"/>
      <c r="M81" s="146"/>
      <c r="N81" s="100"/>
    </row>
    <row r="82" spans="1:32" x14ac:dyDescent="0.35">
      <c r="A82" s="44" t="s">
        <v>50</v>
      </c>
      <c r="B82" s="44"/>
      <c r="C82" s="44"/>
      <c r="D82" s="44"/>
      <c r="E82" s="44"/>
      <c r="F82" s="44"/>
      <c r="G82" s="44"/>
      <c r="H82" s="44"/>
      <c r="I82" s="44"/>
      <c r="J82" s="44"/>
      <c r="K82" s="44"/>
      <c r="L82" s="45"/>
      <c r="M82" s="46"/>
      <c r="N82" s="45"/>
      <c r="O82" s="46"/>
      <c r="P82" s="45"/>
      <c r="Q82" s="46"/>
      <c r="R82" s="45"/>
      <c r="S82" s="46"/>
      <c r="T82" s="45"/>
      <c r="U82" s="46"/>
      <c r="V82" s="45"/>
      <c r="W82" s="46"/>
      <c r="X82" s="45"/>
      <c r="Y82" s="46"/>
      <c r="Z82" s="45"/>
      <c r="AA82" s="46"/>
      <c r="AB82" s="45"/>
      <c r="AC82" s="46"/>
    </row>
    <row r="83" spans="1:32" x14ac:dyDescent="0.35">
      <c r="A83" s="50" t="s">
        <v>171</v>
      </c>
      <c r="B83" s="50"/>
      <c r="C83" s="50" t="s">
        <v>172</v>
      </c>
      <c r="D83" s="50"/>
      <c r="E83" s="50"/>
      <c r="F83" s="50"/>
      <c r="G83" s="50"/>
      <c r="H83" s="53">
        <v>25372.16</v>
      </c>
      <c r="I83" s="112">
        <f>(H83 -J83) /H83*100</f>
        <v>27.249985811219858</v>
      </c>
      <c r="J83" s="53">
        <v>18458.25</v>
      </c>
      <c r="K83" s="53"/>
      <c r="L83" s="143">
        <v>1</v>
      </c>
      <c r="M83" s="144">
        <f>L83*J83</f>
        <v>18458.25</v>
      </c>
      <c r="N83" s="143">
        <v>0</v>
      </c>
      <c r="O83" s="144">
        <f>N83*J83</f>
        <v>0</v>
      </c>
      <c r="P83" s="143">
        <v>0</v>
      </c>
      <c r="Q83" s="144">
        <f>P83*J83</f>
        <v>0</v>
      </c>
      <c r="R83" s="143">
        <v>0</v>
      </c>
      <c r="S83" s="144">
        <f>R83*J83</f>
        <v>0</v>
      </c>
      <c r="T83" s="143">
        <v>0</v>
      </c>
      <c r="U83" s="144">
        <f>T83*J83</f>
        <v>0</v>
      </c>
      <c r="V83" s="143">
        <v>0</v>
      </c>
      <c r="W83" s="144">
        <f>V83*J83</f>
        <v>0</v>
      </c>
      <c r="X83" s="143">
        <v>0</v>
      </c>
      <c r="Y83" s="144">
        <f>X83*J83</f>
        <v>0</v>
      </c>
      <c r="Z83" s="143">
        <v>0</v>
      </c>
      <c r="AA83" s="144">
        <f>Z83*J83</f>
        <v>0</v>
      </c>
      <c r="AB83" s="60">
        <f>SUMIF(L14:AA14,AB14,L83:AA83)</f>
        <v>1</v>
      </c>
      <c r="AC83" s="61">
        <f>SUMIF(L14:AB14,AC14,L83:AB83)</f>
        <v>18458.25</v>
      </c>
    </row>
    <row r="84" spans="1:32" x14ac:dyDescent="0.35">
      <c r="A84" s="50" t="s">
        <v>173</v>
      </c>
      <c r="B84" s="50"/>
      <c r="C84" s="50" t="s">
        <v>174</v>
      </c>
      <c r="D84" s="50"/>
      <c r="E84" s="50"/>
      <c r="F84" s="50"/>
      <c r="G84" s="50"/>
      <c r="H84" s="53">
        <v>9045.83</v>
      </c>
      <c r="I84" s="112">
        <f>(H84 -J84) /H84*100</f>
        <v>27.250014647633215</v>
      </c>
      <c r="J84" s="53">
        <v>6580.84</v>
      </c>
      <c r="K84" s="53"/>
      <c r="L84" s="143">
        <v>1</v>
      </c>
      <c r="M84" s="144">
        <f>L84*J84</f>
        <v>6580.84</v>
      </c>
      <c r="N84" s="143">
        <v>0</v>
      </c>
      <c r="O84" s="144">
        <f>N84*J84</f>
        <v>0</v>
      </c>
      <c r="P84" s="143">
        <v>0</v>
      </c>
      <c r="Q84" s="144">
        <f>P84*J84</f>
        <v>0</v>
      </c>
      <c r="R84" s="143">
        <v>0</v>
      </c>
      <c r="S84" s="144">
        <f>R84*J84</f>
        <v>0</v>
      </c>
      <c r="T84" s="143">
        <v>0</v>
      </c>
      <c r="U84" s="144">
        <f>T84*J84</f>
        <v>0</v>
      </c>
      <c r="V84" s="143">
        <v>0</v>
      </c>
      <c r="W84" s="144">
        <f>V84*J84</f>
        <v>0</v>
      </c>
      <c r="X84" s="143">
        <v>0</v>
      </c>
      <c r="Y84" s="144">
        <f>X84*J84</f>
        <v>0</v>
      </c>
      <c r="Z84" s="143">
        <v>0</v>
      </c>
      <c r="AA84" s="144">
        <f>Z84*J84</f>
        <v>0</v>
      </c>
      <c r="AB84" s="60">
        <f>SUMIF(L14:AA14,AB14,L84:AA84)</f>
        <v>1</v>
      </c>
      <c r="AC84" s="61">
        <f>SUMIF(L14:AB14,AC14,L84:AB84)</f>
        <v>6580.84</v>
      </c>
    </row>
    <row r="85" spans="1:32" ht="12.75" customHeight="1" x14ac:dyDescent="0.35">
      <c r="A85" s="54" t="s">
        <v>175</v>
      </c>
      <c r="B85" s="54"/>
      <c r="C85" s="54"/>
      <c r="D85" s="54"/>
      <c r="E85" s="54"/>
      <c r="F85" s="54"/>
      <c r="G85" s="54"/>
      <c r="H85" s="54"/>
      <c r="I85" s="54"/>
      <c r="J85" s="54"/>
      <c r="K85" s="54"/>
      <c r="L85" s="55"/>
      <c r="M85" s="31">
        <f>SUM(gp_design_audit___oper_svc_poc_network_totals)</f>
        <v>25039.09</v>
      </c>
      <c r="N85" s="55"/>
      <c r="O85" s="31">
        <f>SUM(gp_sv_design_audit___oper_svc_poc_vbng)</f>
        <v>0</v>
      </c>
      <c r="P85" s="55"/>
      <c r="Q85" s="31">
        <f>SUM(gp_sv_design_audit___oper_svc_poc_core)</f>
        <v>0</v>
      </c>
      <c r="R85" s="55"/>
      <c r="S85" s="31">
        <f>SUM(gp_sv_design_audit___oper_svc_poc_cpe)</f>
        <v>0</v>
      </c>
      <c r="T85" s="55"/>
      <c r="U85" s="31">
        <f>SUM(gp_sv_design_audit___oper_svc_poc_access_hub_1)</f>
        <v>0</v>
      </c>
      <c r="V85" s="55"/>
      <c r="W85" s="31">
        <f>SUM(gp_sv_design_audit___oper_svc_poc_access_hub_2)</f>
        <v>0</v>
      </c>
      <c r="X85" s="55"/>
      <c r="Y85" s="31">
        <f>SUM(gp_sv_design_audit___oper_svc_poc_access_hub_3)</f>
        <v>0</v>
      </c>
      <c r="Z85" s="55"/>
      <c r="AA85" s="31">
        <f>SUM(gp_sv_design_audit___oper_svc_poc_spares)</f>
        <v>0</v>
      </c>
      <c r="AB85" s="55"/>
      <c r="AC85" s="56">
        <f>SUMIF(L14:AB14,AC14,L85:AB85)</f>
        <v>25039.09</v>
      </c>
    </row>
    <row r="86" spans="1:32" x14ac:dyDescent="0.35">
      <c r="A86" s="44" t="s">
        <v>52</v>
      </c>
      <c r="B86" s="44"/>
      <c r="C86" s="44"/>
      <c r="D86" s="44"/>
      <c r="E86" s="44"/>
      <c r="F86" s="44"/>
      <c r="G86" s="44"/>
      <c r="H86" s="44"/>
      <c r="I86" s="44"/>
      <c r="J86" s="44"/>
      <c r="K86" s="44"/>
      <c r="L86" s="45"/>
      <c r="M86" s="46"/>
      <c r="N86" s="45"/>
      <c r="O86" s="46"/>
      <c r="P86" s="45"/>
      <c r="Q86" s="46"/>
      <c r="R86" s="45"/>
      <c r="S86" s="46"/>
      <c r="T86" s="45"/>
      <c r="U86" s="46"/>
      <c r="V86" s="45"/>
      <c r="W86" s="46"/>
      <c r="X86" s="45"/>
      <c r="Y86" s="46"/>
      <c r="Z86" s="45"/>
      <c r="AA86" s="46"/>
      <c r="AB86" s="45"/>
      <c r="AC86" s="46"/>
    </row>
    <row r="87" spans="1:32" x14ac:dyDescent="0.35">
      <c r="A87" s="50" t="s">
        <v>176</v>
      </c>
      <c r="B87" s="50"/>
      <c r="C87" s="50" t="s">
        <v>177</v>
      </c>
      <c r="D87" s="50"/>
      <c r="E87" s="50"/>
      <c r="F87" s="50"/>
      <c r="G87" s="50"/>
      <c r="H87" s="53"/>
      <c r="I87" s="112"/>
      <c r="J87" s="53">
        <v>29258</v>
      </c>
      <c r="K87" s="53"/>
      <c r="L87" s="143">
        <v>1</v>
      </c>
      <c r="M87" s="144">
        <f t="shared" ref="M87:M97" si="0">L87*J87</f>
        <v>29258</v>
      </c>
      <c r="N87" s="143">
        <v>0</v>
      </c>
      <c r="O87" s="144">
        <f t="shared" ref="O87:O97" si="1">N87*J87</f>
        <v>0</v>
      </c>
      <c r="P87" s="143">
        <v>0</v>
      </c>
      <c r="Q87" s="144">
        <f t="shared" ref="Q87:Q97" si="2">P87*J87</f>
        <v>0</v>
      </c>
      <c r="R87" s="143">
        <v>0</v>
      </c>
      <c r="S87" s="144">
        <f t="shared" ref="S87:S97" si="3">R87*J87</f>
        <v>0</v>
      </c>
      <c r="T87" s="143">
        <v>0</v>
      </c>
      <c r="U87" s="144">
        <f t="shared" ref="U87:U97" si="4">T87*J87</f>
        <v>0</v>
      </c>
      <c r="V87" s="143">
        <v>0</v>
      </c>
      <c r="W87" s="144">
        <f t="shared" ref="W87:W97" si="5">V87*J87</f>
        <v>0</v>
      </c>
      <c r="X87" s="143">
        <v>0</v>
      </c>
      <c r="Y87" s="144">
        <f t="shared" ref="Y87:Y97" si="6">X87*J87</f>
        <v>0</v>
      </c>
      <c r="Z87" s="143">
        <v>0</v>
      </c>
      <c r="AA87" s="144">
        <f t="shared" ref="AA87:AA97" si="7">Z87*J87</f>
        <v>0</v>
      </c>
      <c r="AB87" s="60">
        <f>SUMIF(L14:AA14,AB14,L87:AA87)</f>
        <v>1</v>
      </c>
      <c r="AC87" s="61">
        <f>SUMIF(L14:AB14,AC14,L87:AB87)</f>
        <v>29258</v>
      </c>
    </row>
    <row r="88" spans="1:32" x14ac:dyDescent="0.35">
      <c r="A88" s="50" t="s">
        <v>178</v>
      </c>
      <c r="B88" s="50"/>
      <c r="C88" s="50" t="s">
        <v>179</v>
      </c>
      <c r="D88" s="50"/>
      <c r="E88" s="50"/>
      <c r="F88" s="50"/>
      <c r="G88" s="50"/>
      <c r="H88" s="53"/>
      <c r="I88" s="112"/>
      <c r="J88" s="53">
        <v>59542</v>
      </c>
      <c r="K88" s="53"/>
      <c r="L88" s="143">
        <v>1</v>
      </c>
      <c r="M88" s="144">
        <f t="shared" si="0"/>
        <v>59542</v>
      </c>
      <c r="N88" s="143">
        <v>0</v>
      </c>
      <c r="O88" s="144">
        <f t="shared" si="1"/>
        <v>0</v>
      </c>
      <c r="P88" s="143">
        <v>0</v>
      </c>
      <c r="Q88" s="144">
        <f t="shared" si="2"/>
        <v>0</v>
      </c>
      <c r="R88" s="143">
        <v>0</v>
      </c>
      <c r="S88" s="144">
        <f t="shared" si="3"/>
        <v>0</v>
      </c>
      <c r="T88" s="143">
        <v>0</v>
      </c>
      <c r="U88" s="144">
        <f t="shared" si="4"/>
        <v>0</v>
      </c>
      <c r="V88" s="143">
        <v>0</v>
      </c>
      <c r="W88" s="144">
        <f t="shared" si="5"/>
        <v>0</v>
      </c>
      <c r="X88" s="143">
        <v>0</v>
      </c>
      <c r="Y88" s="144">
        <f t="shared" si="6"/>
        <v>0</v>
      </c>
      <c r="Z88" s="143">
        <v>0</v>
      </c>
      <c r="AA88" s="144">
        <f t="shared" si="7"/>
        <v>0</v>
      </c>
      <c r="AB88" s="60">
        <f>SUMIF(L14:AA14,AB14,L88:AA88)</f>
        <v>1</v>
      </c>
      <c r="AC88" s="61">
        <f>SUMIF(L14:AB14,AC14,L88:AB88)</f>
        <v>59542</v>
      </c>
    </row>
    <row r="89" spans="1:32" x14ac:dyDescent="0.35">
      <c r="A89" s="50" t="s">
        <v>180</v>
      </c>
      <c r="B89" s="50"/>
      <c r="C89" s="50" t="s">
        <v>181</v>
      </c>
      <c r="D89" s="50"/>
      <c r="E89" s="50"/>
      <c r="F89" s="50"/>
      <c r="G89" s="50"/>
      <c r="H89" s="53"/>
      <c r="I89" s="112"/>
      <c r="J89" s="53">
        <v>3226</v>
      </c>
      <c r="K89" s="53"/>
      <c r="L89" s="143">
        <v>1</v>
      </c>
      <c r="M89" s="144">
        <f t="shared" si="0"/>
        <v>3226</v>
      </c>
      <c r="N89" s="143">
        <v>0</v>
      </c>
      <c r="O89" s="144">
        <f t="shared" si="1"/>
        <v>0</v>
      </c>
      <c r="P89" s="143">
        <v>0</v>
      </c>
      <c r="Q89" s="144">
        <f t="shared" si="2"/>
        <v>0</v>
      </c>
      <c r="R89" s="143">
        <v>0</v>
      </c>
      <c r="S89" s="144">
        <f t="shared" si="3"/>
        <v>0</v>
      </c>
      <c r="T89" s="143">
        <v>0</v>
      </c>
      <c r="U89" s="144">
        <f t="shared" si="4"/>
        <v>0</v>
      </c>
      <c r="V89" s="143">
        <v>0</v>
      </c>
      <c r="W89" s="144">
        <f t="shared" si="5"/>
        <v>0</v>
      </c>
      <c r="X89" s="143">
        <v>0</v>
      </c>
      <c r="Y89" s="144">
        <f t="shared" si="6"/>
        <v>0</v>
      </c>
      <c r="Z89" s="143">
        <v>0</v>
      </c>
      <c r="AA89" s="144">
        <f t="shared" si="7"/>
        <v>0</v>
      </c>
      <c r="AB89" s="60">
        <f>SUMIF(L14:AA14,AB14,L89:AA89)</f>
        <v>1</v>
      </c>
      <c r="AC89" s="61">
        <f>SUMIF(L14:AB14,AC14,L89:AB89)</f>
        <v>3226</v>
      </c>
    </row>
    <row r="90" spans="1:32" s="118" customFormat="1" ht="17.25" customHeight="1" x14ac:dyDescent="0.35">
      <c r="A90" s="50" t="s">
        <v>182</v>
      </c>
      <c r="B90" s="50"/>
      <c r="C90" s="50" t="s">
        <v>183</v>
      </c>
      <c r="D90" s="50"/>
      <c r="E90" s="50"/>
      <c r="F90" s="50"/>
      <c r="G90" s="50"/>
      <c r="H90" s="53"/>
      <c r="I90" s="112"/>
      <c r="J90" s="53">
        <v>6565</v>
      </c>
      <c r="K90" s="53"/>
      <c r="L90" s="143">
        <v>1</v>
      </c>
      <c r="M90" s="144">
        <f t="shared" si="0"/>
        <v>6565</v>
      </c>
      <c r="N90" s="143">
        <v>0</v>
      </c>
      <c r="O90" s="144">
        <f t="shared" si="1"/>
        <v>0</v>
      </c>
      <c r="P90" s="143">
        <v>0</v>
      </c>
      <c r="Q90" s="144">
        <f t="shared" si="2"/>
        <v>0</v>
      </c>
      <c r="R90" s="143">
        <v>0</v>
      </c>
      <c r="S90" s="144">
        <f t="shared" si="3"/>
        <v>0</v>
      </c>
      <c r="T90" s="143">
        <v>0</v>
      </c>
      <c r="U90" s="144">
        <f t="shared" si="4"/>
        <v>0</v>
      </c>
      <c r="V90" s="143">
        <v>0</v>
      </c>
      <c r="W90" s="144">
        <f t="shared" si="5"/>
        <v>0</v>
      </c>
      <c r="X90" s="143">
        <v>0</v>
      </c>
      <c r="Y90" s="144">
        <f t="shared" si="6"/>
        <v>0</v>
      </c>
      <c r="Z90" s="143">
        <v>0</v>
      </c>
      <c r="AA90" s="144">
        <f t="shared" si="7"/>
        <v>0</v>
      </c>
      <c r="AB90" s="60">
        <f>SUMIF(L14:AA14,AB14,L90:AA90)</f>
        <v>1</v>
      </c>
      <c r="AC90" s="61">
        <f>SUMIF(L14:AB14,AC14,L90:AB90)</f>
        <v>6565</v>
      </c>
      <c r="AD90"/>
      <c r="AE90"/>
      <c r="AF90"/>
    </row>
    <row r="91" spans="1:32" ht="12.75" customHeight="1" x14ac:dyDescent="0.35">
      <c r="A91" s="50" t="s">
        <v>184</v>
      </c>
      <c r="B91" s="50"/>
      <c r="C91" s="50" t="s">
        <v>185</v>
      </c>
      <c r="D91" s="50"/>
      <c r="E91" s="50"/>
      <c r="F91" s="50"/>
      <c r="G91" s="50"/>
      <c r="H91" s="53"/>
      <c r="I91" s="112"/>
      <c r="J91" s="53">
        <v>10016</v>
      </c>
      <c r="K91" s="53"/>
      <c r="L91" s="143">
        <v>1</v>
      </c>
      <c r="M91" s="144">
        <f t="shared" si="0"/>
        <v>10016</v>
      </c>
      <c r="N91" s="143">
        <v>0</v>
      </c>
      <c r="O91" s="144">
        <f t="shared" si="1"/>
        <v>0</v>
      </c>
      <c r="P91" s="143">
        <v>0</v>
      </c>
      <c r="Q91" s="144">
        <f t="shared" si="2"/>
        <v>0</v>
      </c>
      <c r="R91" s="143">
        <v>0</v>
      </c>
      <c r="S91" s="144">
        <f t="shared" si="3"/>
        <v>0</v>
      </c>
      <c r="T91" s="143">
        <v>0</v>
      </c>
      <c r="U91" s="144">
        <f t="shared" si="4"/>
        <v>0</v>
      </c>
      <c r="V91" s="143">
        <v>0</v>
      </c>
      <c r="W91" s="144">
        <f t="shared" si="5"/>
        <v>0</v>
      </c>
      <c r="X91" s="143">
        <v>0</v>
      </c>
      <c r="Y91" s="144">
        <f t="shared" si="6"/>
        <v>0</v>
      </c>
      <c r="Z91" s="143">
        <v>0</v>
      </c>
      <c r="AA91" s="144">
        <f t="shared" si="7"/>
        <v>0</v>
      </c>
      <c r="AB91" s="60">
        <f>SUMIF(L14:AA14,AB14,L91:AA91)</f>
        <v>1</v>
      </c>
      <c r="AC91" s="61">
        <f>SUMIF(L14:AB14,AC14,L91:AB91)</f>
        <v>10016</v>
      </c>
    </row>
    <row r="92" spans="1:32" s="118" customFormat="1" ht="17.25" customHeight="1" x14ac:dyDescent="0.35">
      <c r="A92" s="50" t="s">
        <v>186</v>
      </c>
      <c r="B92" s="50"/>
      <c r="C92" s="50" t="s">
        <v>187</v>
      </c>
      <c r="D92" s="50"/>
      <c r="E92" s="50"/>
      <c r="F92" s="50"/>
      <c r="G92" s="50"/>
      <c r="H92" s="53"/>
      <c r="I92" s="112"/>
      <c r="J92" s="53">
        <v>20384</v>
      </c>
      <c r="K92" s="53"/>
      <c r="L92" s="143">
        <v>1</v>
      </c>
      <c r="M92" s="144">
        <f t="shared" si="0"/>
        <v>20384</v>
      </c>
      <c r="N92" s="143">
        <v>0</v>
      </c>
      <c r="O92" s="144">
        <f t="shared" si="1"/>
        <v>0</v>
      </c>
      <c r="P92" s="143">
        <v>0</v>
      </c>
      <c r="Q92" s="144">
        <f t="shared" si="2"/>
        <v>0</v>
      </c>
      <c r="R92" s="143">
        <v>0</v>
      </c>
      <c r="S92" s="144">
        <f t="shared" si="3"/>
        <v>0</v>
      </c>
      <c r="T92" s="143">
        <v>0</v>
      </c>
      <c r="U92" s="144">
        <f t="shared" si="4"/>
        <v>0</v>
      </c>
      <c r="V92" s="143">
        <v>0</v>
      </c>
      <c r="W92" s="144">
        <f t="shared" si="5"/>
        <v>0</v>
      </c>
      <c r="X92" s="143">
        <v>0</v>
      </c>
      <c r="Y92" s="144">
        <f t="shared" si="6"/>
        <v>0</v>
      </c>
      <c r="Z92" s="143">
        <v>0</v>
      </c>
      <c r="AA92" s="144">
        <f t="shared" si="7"/>
        <v>0</v>
      </c>
      <c r="AB92" s="60">
        <f>SUMIF(L14:AA14,AB14,L92:AA92)</f>
        <v>1</v>
      </c>
      <c r="AC92" s="61">
        <f>SUMIF(L14:AB14,AC14,L92:AB92)</f>
        <v>20384</v>
      </c>
      <c r="AD92"/>
      <c r="AE92"/>
      <c r="AF92"/>
    </row>
    <row r="93" spans="1:32" s="117" customFormat="1" x14ac:dyDescent="0.35">
      <c r="A93" s="50" t="s">
        <v>188</v>
      </c>
      <c r="B93" s="50"/>
      <c r="C93" s="50" t="s">
        <v>189</v>
      </c>
      <c r="D93" s="50"/>
      <c r="E93" s="50"/>
      <c r="F93" s="50"/>
      <c r="G93" s="50"/>
      <c r="H93" s="53"/>
      <c r="I93" s="112"/>
      <c r="J93" s="53">
        <v>1360</v>
      </c>
      <c r="K93" s="53"/>
      <c r="L93" s="143">
        <v>1</v>
      </c>
      <c r="M93" s="144">
        <f t="shared" si="0"/>
        <v>1360</v>
      </c>
      <c r="N93" s="143">
        <v>0</v>
      </c>
      <c r="O93" s="144">
        <f t="shared" si="1"/>
        <v>0</v>
      </c>
      <c r="P93" s="143">
        <v>0</v>
      </c>
      <c r="Q93" s="144">
        <f t="shared" si="2"/>
        <v>0</v>
      </c>
      <c r="R93" s="143">
        <v>0</v>
      </c>
      <c r="S93" s="144">
        <f t="shared" si="3"/>
        <v>0</v>
      </c>
      <c r="T93" s="143">
        <v>0</v>
      </c>
      <c r="U93" s="144">
        <f t="shared" si="4"/>
        <v>0</v>
      </c>
      <c r="V93" s="143">
        <v>0</v>
      </c>
      <c r="W93" s="144">
        <f t="shared" si="5"/>
        <v>0</v>
      </c>
      <c r="X93" s="143">
        <v>0</v>
      </c>
      <c r="Y93" s="144">
        <f t="shared" si="6"/>
        <v>0</v>
      </c>
      <c r="Z93" s="143">
        <v>0</v>
      </c>
      <c r="AA93" s="144">
        <f t="shared" si="7"/>
        <v>0</v>
      </c>
      <c r="AB93" s="60">
        <f>SUMIF(L14:AA14,AB14,L93:AA93)</f>
        <v>1</v>
      </c>
      <c r="AC93" s="61">
        <f>SUMIF(L14:AB14,AC14,L93:AB93)</f>
        <v>1360</v>
      </c>
      <c r="AD93"/>
      <c r="AE93"/>
      <c r="AF93"/>
    </row>
    <row r="94" spans="1:32" ht="12.75" customHeight="1" x14ac:dyDescent="0.35">
      <c r="A94" s="50" t="s">
        <v>190</v>
      </c>
      <c r="B94" s="50"/>
      <c r="C94" s="50" t="s">
        <v>191</v>
      </c>
      <c r="D94" s="50"/>
      <c r="E94" s="50"/>
      <c r="F94" s="50"/>
      <c r="G94" s="50"/>
      <c r="H94" s="53"/>
      <c r="I94" s="112"/>
      <c r="J94" s="53">
        <v>2767</v>
      </c>
      <c r="K94" s="53"/>
      <c r="L94" s="143">
        <v>1</v>
      </c>
      <c r="M94" s="144">
        <f t="shared" si="0"/>
        <v>2767</v>
      </c>
      <c r="N94" s="143">
        <v>0</v>
      </c>
      <c r="O94" s="144">
        <f t="shared" si="1"/>
        <v>0</v>
      </c>
      <c r="P94" s="143">
        <v>0</v>
      </c>
      <c r="Q94" s="144">
        <f t="shared" si="2"/>
        <v>0</v>
      </c>
      <c r="R94" s="143">
        <v>0</v>
      </c>
      <c r="S94" s="144">
        <f t="shared" si="3"/>
        <v>0</v>
      </c>
      <c r="T94" s="143">
        <v>0</v>
      </c>
      <c r="U94" s="144">
        <f t="shared" si="4"/>
        <v>0</v>
      </c>
      <c r="V94" s="143">
        <v>0</v>
      </c>
      <c r="W94" s="144">
        <f t="shared" si="5"/>
        <v>0</v>
      </c>
      <c r="X94" s="143">
        <v>0</v>
      </c>
      <c r="Y94" s="144">
        <f t="shared" si="6"/>
        <v>0</v>
      </c>
      <c r="Z94" s="143">
        <v>0</v>
      </c>
      <c r="AA94" s="144">
        <f t="shared" si="7"/>
        <v>0</v>
      </c>
      <c r="AB94" s="60">
        <f>SUMIF(L14:AA14,AB14,L94:AA94)</f>
        <v>1</v>
      </c>
      <c r="AC94" s="61">
        <f>SUMIF(L14:AB14,AC14,L94:AB94)</f>
        <v>2767</v>
      </c>
    </row>
    <row r="95" spans="1:32" s="117" customFormat="1" x14ac:dyDescent="0.35">
      <c r="A95" s="50" t="s">
        <v>192</v>
      </c>
      <c r="B95" s="50"/>
      <c r="C95" s="50" t="s">
        <v>193</v>
      </c>
      <c r="D95" s="50"/>
      <c r="E95" s="50"/>
      <c r="F95" s="50"/>
      <c r="G95" s="50"/>
      <c r="H95" s="53"/>
      <c r="I95" s="112"/>
      <c r="J95" s="53">
        <v>28800</v>
      </c>
      <c r="K95" s="53"/>
      <c r="L95" s="143">
        <v>1</v>
      </c>
      <c r="M95" s="144">
        <f t="shared" si="0"/>
        <v>28800</v>
      </c>
      <c r="N95" s="143">
        <v>0</v>
      </c>
      <c r="O95" s="144">
        <f t="shared" si="1"/>
        <v>0</v>
      </c>
      <c r="P95" s="143">
        <v>0</v>
      </c>
      <c r="Q95" s="144">
        <f t="shared" si="2"/>
        <v>0</v>
      </c>
      <c r="R95" s="143">
        <v>0</v>
      </c>
      <c r="S95" s="144">
        <f t="shared" si="3"/>
        <v>0</v>
      </c>
      <c r="T95" s="143">
        <v>0</v>
      </c>
      <c r="U95" s="144">
        <f t="shared" si="4"/>
        <v>0</v>
      </c>
      <c r="V95" s="143">
        <v>0</v>
      </c>
      <c r="W95" s="144">
        <f t="shared" si="5"/>
        <v>0</v>
      </c>
      <c r="X95" s="143">
        <v>0</v>
      </c>
      <c r="Y95" s="144">
        <f t="shared" si="6"/>
        <v>0</v>
      </c>
      <c r="Z95" s="143">
        <v>0</v>
      </c>
      <c r="AA95" s="144">
        <f t="shared" si="7"/>
        <v>0</v>
      </c>
      <c r="AB95" s="60">
        <f>SUMIF(L14:AA14,AB14,L95:AA95)</f>
        <v>1</v>
      </c>
      <c r="AC95" s="61">
        <f>SUMIF(L14:AB14,AC14,L95:AB95)</f>
        <v>28800</v>
      </c>
      <c r="AD95"/>
      <c r="AE95"/>
      <c r="AF95"/>
    </row>
    <row r="96" spans="1:32" x14ac:dyDescent="0.35">
      <c r="A96" s="50" t="s">
        <v>194</v>
      </c>
      <c r="B96" s="50"/>
      <c r="C96" s="50" t="s">
        <v>195</v>
      </c>
      <c r="D96" s="50"/>
      <c r="E96" s="50"/>
      <c r="F96" s="50"/>
      <c r="G96" s="50"/>
      <c r="H96" s="53"/>
      <c r="I96" s="112"/>
      <c r="J96" s="53">
        <v>990</v>
      </c>
      <c r="K96" s="53"/>
      <c r="L96" s="143">
        <v>1</v>
      </c>
      <c r="M96" s="144">
        <f t="shared" si="0"/>
        <v>990</v>
      </c>
      <c r="N96" s="143">
        <v>0</v>
      </c>
      <c r="O96" s="144">
        <f t="shared" si="1"/>
        <v>0</v>
      </c>
      <c r="P96" s="143">
        <v>0</v>
      </c>
      <c r="Q96" s="144">
        <f t="shared" si="2"/>
        <v>0</v>
      </c>
      <c r="R96" s="143">
        <v>0</v>
      </c>
      <c r="S96" s="144">
        <f t="shared" si="3"/>
        <v>0</v>
      </c>
      <c r="T96" s="143">
        <v>0</v>
      </c>
      <c r="U96" s="144">
        <f t="shared" si="4"/>
        <v>0</v>
      </c>
      <c r="V96" s="143">
        <v>0</v>
      </c>
      <c r="W96" s="144">
        <f t="shared" si="5"/>
        <v>0</v>
      </c>
      <c r="X96" s="143">
        <v>0</v>
      </c>
      <c r="Y96" s="144">
        <f t="shared" si="6"/>
        <v>0</v>
      </c>
      <c r="Z96" s="143">
        <v>0</v>
      </c>
      <c r="AA96" s="144">
        <f t="shared" si="7"/>
        <v>0</v>
      </c>
      <c r="AB96" s="60">
        <f>SUMIF(L14:AA14,AB14,L96:AA96)</f>
        <v>1</v>
      </c>
      <c r="AC96" s="61">
        <f>SUMIF(L14:AB14,AC14,L96:AB96)</f>
        <v>990</v>
      </c>
    </row>
    <row r="97" spans="1:29" ht="16.5" customHeight="1" thickBot="1" x14ac:dyDescent="0.4">
      <c r="A97" s="50" t="s">
        <v>196</v>
      </c>
      <c r="B97" s="50"/>
      <c r="C97" s="50" t="s">
        <v>197</v>
      </c>
      <c r="D97" s="50"/>
      <c r="E97" s="50"/>
      <c r="F97" s="50"/>
      <c r="G97" s="50"/>
      <c r="H97" s="53"/>
      <c r="I97" s="112"/>
      <c r="J97" s="53">
        <v>25177</v>
      </c>
      <c r="K97" s="53"/>
      <c r="L97" s="143">
        <v>1</v>
      </c>
      <c r="M97" s="144">
        <f t="shared" si="0"/>
        <v>25177</v>
      </c>
      <c r="N97" s="143">
        <v>0</v>
      </c>
      <c r="O97" s="144">
        <f t="shared" si="1"/>
        <v>0</v>
      </c>
      <c r="P97" s="143">
        <v>0</v>
      </c>
      <c r="Q97" s="144">
        <f t="shared" si="2"/>
        <v>0</v>
      </c>
      <c r="R97" s="143">
        <v>0</v>
      </c>
      <c r="S97" s="144">
        <f t="shared" si="3"/>
        <v>0</v>
      </c>
      <c r="T97" s="143">
        <v>0</v>
      </c>
      <c r="U97" s="144">
        <f t="shared" si="4"/>
        <v>0</v>
      </c>
      <c r="V97" s="143">
        <v>0</v>
      </c>
      <c r="W97" s="144">
        <f t="shared" si="5"/>
        <v>0</v>
      </c>
      <c r="X97" s="143">
        <v>0</v>
      </c>
      <c r="Y97" s="144">
        <f t="shared" si="6"/>
        <v>0</v>
      </c>
      <c r="Z97" s="143">
        <v>0</v>
      </c>
      <c r="AA97" s="144">
        <f t="shared" si="7"/>
        <v>0</v>
      </c>
      <c r="AB97" s="60">
        <f>SUMIF(L14:AA14,AB14,L97:AA97)</f>
        <v>1</v>
      </c>
      <c r="AC97" s="61">
        <f>SUMIF(L14:AB14,AC14,L97:AB97)</f>
        <v>25177</v>
      </c>
    </row>
    <row r="98" spans="1:29" ht="19.5" customHeight="1" thickBot="1" x14ac:dyDescent="0.4">
      <c r="A98" s="54" t="s">
        <v>198</v>
      </c>
      <c r="B98" s="54"/>
      <c r="C98" s="54"/>
      <c r="D98" s="54"/>
      <c r="E98" s="54"/>
      <c r="F98" s="54"/>
      <c r="G98" s="54"/>
      <c r="H98" s="54"/>
      <c r="I98" s="54"/>
      <c r="J98" s="54"/>
      <c r="K98" s="54"/>
      <c r="L98" s="55"/>
      <c r="M98" s="31">
        <f>SUM(gp_maintain_services_network_totals)</f>
        <v>188085</v>
      </c>
      <c r="N98" s="55"/>
      <c r="O98" s="31">
        <f>SUM(gp_sv_maintain_services_vbng)</f>
        <v>0</v>
      </c>
      <c r="P98" s="55"/>
      <c r="Q98" s="31">
        <f>SUM(gp_sv_maintain_services_core)</f>
        <v>0</v>
      </c>
      <c r="R98" s="55"/>
      <c r="S98" s="31">
        <f>SUM(gp_sv_maintain_services_cpe)</f>
        <v>0</v>
      </c>
      <c r="T98" s="55"/>
      <c r="U98" s="31">
        <f>SUM(gp_sv_maintain_services_access_hub_1)</f>
        <v>0</v>
      </c>
      <c r="V98" s="55"/>
      <c r="W98" s="31">
        <f>SUM(gp_sv_maintain_services_access_hub_2)</f>
        <v>0</v>
      </c>
      <c r="X98" s="55"/>
      <c r="Y98" s="31">
        <f>SUM(gp_sv_maintain_services_access_hub_3)</f>
        <v>0</v>
      </c>
      <c r="Z98" s="55"/>
      <c r="AA98" s="31">
        <f>SUM(gp_sv_maintain_services_spares)</f>
        <v>0</v>
      </c>
      <c r="AB98" s="55"/>
      <c r="AC98" s="56">
        <f>SUMIF(L14:AB14,AC14,L98:AB98)</f>
        <v>188085</v>
      </c>
    </row>
    <row r="99" spans="1:29" x14ac:dyDescent="0.35">
      <c r="A99" s="26" t="s">
        <v>199</v>
      </c>
      <c r="B99" s="26"/>
      <c r="C99" s="26"/>
      <c r="D99" s="26"/>
      <c r="E99" s="26"/>
      <c r="F99" s="26"/>
      <c r="G99" s="26"/>
      <c r="H99" s="26"/>
      <c r="I99" s="26"/>
      <c r="J99" s="26"/>
      <c r="K99" s="26"/>
      <c r="L99" s="14"/>
      <c r="M99" s="15">
        <f>SUM(gp_subtotal_network)</f>
        <v>213124.09</v>
      </c>
      <c r="N99" s="14"/>
      <c r="O99" s="15">
        <f>SUM(gp_vbng)</f>
        <v>0</v>
      </c>
      <c r="P99" s="14"/>
      <c r="Q99" s="15">
        <f>SUM(gp_core)</f>
        <v>0</v>
      </c>
      <c r="R99" s="14"/>
      <c r="S99" s="15">
        <f>SUM(gp_cpe)</f>
        <v>0</v>
      </c>
      <c r="T99" s="14"/>
      <c r="U99" s="15">
        <f>SUM(gp_access_hub_1)</f>
        <v>0</v>
      </c>
      <c r="V99" s="14"/>
      <c r="W99" s="15">
        <f>SUM(gp_access_hub_2)</f>
        <v>0</v>
      </c>
      <c r="X99" s="14"/>
      <c r="Y99" s="15">
        <f>SUM(gp_access_hub_3)</f>
        <v>0</v>
      </c>
      <c r="Z99" s="14"/>
      <c r="AA99" s="15">
        <f>SUM(gp_spares)</f>
        <v>0</v>
      </c>
      <c r="AB99" s="14"/>
      <c r="AC99" s="58">
        <f>SUMIF(L14:AB14,AC14,L99:AB99)</f>
        <v>213124.09</v>
      </c>
    </row>
    <row r="100" spans="1:29" ht="16.5" customHeight="1" thickBot="1" x14ac:dyDescent="0.4">
      <c r="A100" s="82"/>
      <c r="B100" s="116"/>
      <c r="C100" s="116"/>
      <c r="D100" s="116"/>
      <c r="E100" s="116"/>
      <c r="F100" s="116"/>
      <c r="G100" s="116"/>
      <c r="H100" s="116"/>
      <c r="I100" s="116"/>
      <c r="J100" s="116"/>
      <c r="K100" s="116"/>
      <c r="L100" s="145"/>
      <c r="M100" s="146"/>
      <c r="N100" s="100"/>
    </row>
    <row r="101" spans="1:29" ht="19.5" customHeight="1" thickBot="1" x14ac:dyDescent="0.4"/>
    <row r="102" spans="1:29" ht="19.5" customHeight="1" thickBot="1" x14ac:dyDescent="0.4">
      <c r="A102" s="62" t="s">
        <v>200</v>
      </c>
      <c r="B102" s="62"/>
      <c r="C102" s="62"/>
      <c r="D102" s="62"/>
      <c r="E102" s="62"/>
      <c r="F102" s="62"/>
      <c r="G102" s="62"/>
      <c r="H102" s="62"/>
      <c r="I102" s="62"/>
      <c r="J102" s="62"/>
      <c r="K102" s="62"/>
      <c r="L102" s="63"/>
      <c r="M102" s="17">
        <f>_xlfn.SINGLE(total_network)</f>
        <v>213124.09</v>
      </c>
      <c r="N102" s="63"/>
      <c r="O102" s="17">
        <f>IFERROR(n_hw_site_vbng_total,0)+IFERROR(n_sv_site_vbng_total,0)</f>
        <v>241660.71000000002</v>
      </c>
      <c r="P102" s="63"/>
      <c r="Q102" s="17">
        <f>IFERROR(n_hw_site_core_total,0)+IFERROR(n_sv_site_core_total,0)</f>
        <v>75844.78</v>
      </c>
      <c r="R102" s="63"/>
      <c r="S102" s="17">
        <f>IFERROR(n_hw_site_cpe_total,0)+IFERROR(n_sv_site_cpe_total,0)</f>
        <v>1933500</v>
      </c>
      <c r="T102" s="63"/>
      <c r="U102" s="17">
        <f>IFERROR(n_hw_site_access_hub_1_total,0)+IFERROR(n_sv_site_access_hub_1_total,0)</f>
        <v>195992.68</v>
      </c>
      <c r="V102" s="63"/>
      <c r="W102" s="17">
        <f>IFERROR(n_hw_site_access_hub_2_total,0)+IFERROR(n_sv_site_access_hub_2_total,0)</f>
        <v>195992.68</v>
      </c>
      <c r="X102" s="63"/>
      <c r="Y102" s="17">
        <f>IFERROR(n_hw_site_access_hub_3_total,0)+IFERROR(n_sv_site_access_hub_3_total,0)</f>
        <v>195992.68</v>
      </c>
      <c r="Z102" s="63"/>
      <c r="AA102" s="17">
        <f>IFERROR(n_hw_site_spares_total,0)+IFERROR(n_sv_site_spares_total,0)</f>
        <v>13282.36</v>
      </c>
      <c r="AB102" s="63"/>
      <c r="AC102" s="17">
        <f>IFERROR(totalhw,0)+IFERROR(totalsv,0)</f>
        <v>3065389.9800000004</v>
      </c>
    </row>
    <row r="104" spans="1:29" x14ac:dyDescent="0.35">
      <c r="A104" s="26" t="s">
        <v>201</v>
      </c>
      <c r="B104" s="26"/>
      <c r="C104" s="26"/>
      <c r="D104" s="26"/>
      <c r="E104" s="26"/>
      <c r="F104" s="26"/>
      <c r="G104" s="26"/>
      <c r="H104" s="26"/>
      <c r="I104" s="26"/>
      <c r="J104" s="26"/>
      <c r="K104" s="26"/>
      <c r="L104" s="14"/>
      <c r="M104" s="57">
        <f>IF(COUNTIFS($F14:$F103,"=TBD",L14:L103,"&gt;0")&gt;0,"TBD",SUMPRODUCT($F14:$F103,L14:L103))</f>
        <v>0</v>
      </c>
      <c r="N104" s="14"/>
      <c r="O104" s="57">
        <f>IF(COUNTIFS($F14:$F103,"=TBD",N14:N103,"&gt;0")&gt;0,"TBD",SUMPRODUCT($F14:$F103,N14:N103))</f>
        <v>0</v>
      </c>
      <c r="P104" s="14"/>
      <c r="Q104" s="57">
        <f>IF(COUNTIFS($F14:$F103,"=TBD",P14:P103,"&gt;0")&gt;0,"TBD",SUMPRODUCT($F14:$F103,P14:P103))</f>
        <v>916</v>
      </c>
      <c r="R104" s="14"/>
      <c r="S104" s="57">
        <f>IF(COUNTIFS($F14:$F103,"=TBD",R14:R103,"&gt;0")&gt;0,"TBD",SUMPRODUCT($F14:$F103,R14:R103))</f>
        <v>150000</v>
      </c>
      <c r="T104" s="14"/>
      <c r="U104" s="57">
        <f>IF(COUNTIFS($F14:$F103,"=TBD",T14:T103,"&gt;0")&gt;0,"TBD",SUMPRODUCT($F14:$F103,T14:T103))</f>
        <v>1170.5</v>
      </c>
      <c r="V104" s="14"/>
      <c r="W104" s="57">
        <f>IF(COUNTIFS($F14:$F103,"=TBD",V14:V103,"&gt;0")&gt;0,"TBD",SUMPRODUCT($F14:$F103,V14:V103))</f>
        <v>1170.5</v>
      </c>
      <c r="X104" s="14"/>
      <c r="Y104" s="57">
        <f>IF(COUNTIFS($F14:$F103,"=TBD",X14:X103,"&gt;0")&gt;0,"TBD",SUMPRODUCT($F14:$F103,X14:X103))</f>
        <v>1170.5</v>
      </c>
      <c r="Z104" s="14"/>
      <c r="AA104" s="57">
        <f>IF(COUNTIFS($F14:$F103,"=TBD",Z14:Z103,"&gt;0")&gt;0,"TBD",SUMPRODUCT($F14:$F103,Z14:Z103))</f>
        <v>280</v>
      </c>
      <c r="AB104" s="14"/>
      <c r="AC104" s="15"/>
    </row>
    <row r="105" spans="1:29" ht="16.5" customHeight="1" thickBot="1" x14ac:dyDescent="0.4">
      <c r="A105" s="26" t="s">
        <v>202</v>
      </c>
      <c r="B105" s="26"/>
      <c r="C105" s="26"/>
      <c r="D105" s="26"/>
      <c r="E105" s="26"/>
      <c r="F105" s="26"/>
      <c r="G105" s="26"/>
      <c r="H105" s="26"/>
      <c r="I105" s="26"/>
      <c r="J105" s="26"/>
      <c r="K105" s="26"/>
      <c r="L105" s="14"/>
      <c r="M105" s="15">
        <f>IF(COUNTIFS($G14:$G104,"=TBD",L14:L104,"&gt;0")&gt;0,"TBD",SUMPRODUCT($G14:$G104,L14:L104))</f>
        <v>0</v>
      </c>
      <c r="N105" s="14"/>
      <c r="O105" s="57">
        <f>IF(COUNTIFS($G14:$G103,"=TBD",N14:N103,"&gt;0")&gt;0,"TBD",SUMPRODUCT($G14:$G103,N14:N103))</f>
        <v>0</v>
      </c>
      <c r="P105" s="14"/>
      <c r="Q105" s="57">
        <f>IF(COUNTIFS($G14:$G103,"=TBD",P14:P103,"&gt;0")&gt;0,"TBD",SUMPRODUCT($G14:$G103,P14:P103))</f>
        <v>1591.6</v>
      </c>
      <c r="R105" s="14"/>
      <c r="S105" s="57">
        <f>IF(COUNTIFS($G14:$G103,"=TBD",R14:R103,"&gt;0")&gt;0,"TBD",SUMPRODUCT($G14:$G103,R14:R103))</f>
        <v>180000</v>
      </c>
      <c r="T105" s="14"/>
      <c r="U105" s="57">
        <f>IF(COUNTIFS($G14:$G103,"=TBD",T14:T103,"&gt;0")&gt;0,"TBD",SUMPRODUCT($G14:$G103,T14:T103))</f>
        <v>1998.9</v>
      </c>
      <c r="V105" s="14"/>
      <c r="W105" s="57">
        <f>IF(COUNTIFS($G14:$G103,"=TBD",V14:V103,"&gt;0")&gt;0,"TBD",SUMPRODUCT($G14:$G103,V14:V103))</f>
        <v>1998.9</v>
      </c>
      <c r="X105" s="14"/>
      <c r="Y105" s="57">
        <f>IF(COUNTIFS($G14:$G103,"=TBD",X14:X103,"&gt;0")&gt;0,"TBD",SUMPRODUCT($G14:$G103,X14:X103))</f>
        <v>1998.9</v>
      </c>
      <c r="Z105" s="14"/>
      <c r="AA105" s="57">
        <f>IF(COUNTIFS($G14:$G103,"=TBD",Z14:Z103,"&gt;0")&gt;0,"TBD",SUMPRODUCT($G14:$G103,Z14:Z103))</f>
        <v>468.4</v>
      </c>
      <c r="AB105" s="14"/>
      <c r="AC105" s="15"/>
    </row>
    <row r="106" spans="1:29" ht="19.5" customHeight="1" thickBot="1" x14ac:dyDescent="0.4"/>
    <row r="107" spans="1:29" ht="18.5" x14ac:dyDescent="0.45">
      <c r="A107" s="120" t="s">
        <v>203</v>
      </c>
    </row>
    <row r="108" spans="1:29" x14ac:dyDescent="0.35">
      <c r="A108" s="121" t="s">
        <v>204</v>
      </c>
    </row>
    <row r="109" spans="1:29" ht="16.5" customHeight="1" thickBot="1" x14ac:dyDescent="0.4">
      <c r="A109" s="122" t="str">
        <f>HYPERLINK("https://www.ciena.com/general/terms-and-conditions/","Terms and Conditions")</f>
        <v>Terms and Conditions</v>
      </c>
    </row>
    <row r="110" spans="1:29" ht="15" customHeight="1" thickBot="1" x14ac:dyDescent="0.4"/>
    <row r="111" spans="1:29" ht="16.5" customHeight="1" thickBot="1" x14ac:dyDescent="0.4"/>
    <row r="112" spans="1:29" ht="15" customHeight="1" thickBot="1" x14ac:dyDescent="0.4"/>
    <row r="113" ht="15" customHeight="1" thickBot="1" x14ac:dyDescent="0.4"/>
    <row r="115" ht="16.5" customHeight="1" thickBot="1" x14ac:dyDescent="0.4"/>
    <row r="116" ht="15" customHeight="1" thickBot="1" x14ac:dyDescent="0.4"/>
    <row r="120" ht="16.5" customHeight="1" thickBot="1" x14ac:dyDescent="0.4"/>
    <row r="121" ht="18.75" customHeight="1" thickBot="1" x14ac:dyDescent="0.4"/>
    <row r="123" ht="16.5" customHeight="1" thickBot="1" x14ac:dyDescent="0.4"/>
    <row r="124" ht="18.75" customHeight="1" thickBot="1" x14ac:dyDescent="0.4"/>
    <row r="125" ht="18.75" customHeight="1" thickBot="1" x14ac:dyDescent="0.4"/>
    <row r="128" ht="16.5" customHeight="1" thickBot="1" x14ac:dyDescent="0.4"/>
    <row r="129" ht="19.5" customHeight="1" thickBot="1" x14ac:dyDescent="0.4"/>
    <row r="130" ht="22.5" customHeight="1" thickBot="1" x14ac:dyDescent="0.4"/>
    <row r="133" s="4" customFormat="1" ht="19.5" customHeight="1" thickBot="1" x14ac:dyDescent="0.4"/>
    <row r="134" s="81" customFormat="1" ht="14.5" x14ac:dyDescent="0.35"/>
    <row r="138" ht="19.5" customHeight="1" thickBot="1" x14ac:dyDescent="0.4"/>
    <row r="143" ht="19.5" customHeight="1" thickBot="1" x14ac:dyDescent="0.4"/>
    <row r="147" s="4" customFormat="1" ht="14.5" x14ac:dyDescent="0.35"/>
  </sheetData>
  <hyperlinks>
    <hyperlink ref="A140" r:id="rId1" display="https://www.ciena.com/general/terms-and-conditions/" xr:uid="{00000000-0004-0000-0200-000000000000}"/>
  </hyperlinks>
  <pageMargins left="0.25" right="0.25" top="0.75" bottom="0.75" header="0.3" footer="0.3"/>
  <pageSetup scale="28" orientation="landscape"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9"/>
  <sheetViews>
    <sheetView showGridLines="0" showZeros="0" zoomScale="55" zoomScaleNormal="55" workbookViewId="0">
      <selection sqref="A1:I39"/>
    </sheetView>
  </sheetViews>
  <sheetFormatPr defaultColWidth="12.5" defaultRowHeight="14.5" x14ac:dyDescent="0.35"/>
  <cols>
    <col min="1" max="1" width="37.75" style="4" customWidth="1"/>
    <col min="2" max="2" width="61" style="4" customWidth="1"/>
    <col min="3" max="514" width="20" style="4" customWidth="1"/>
    <col min="515" max="515" width="12.5" style="4" customWidth="1"/>
    <col min="516" max="16384" width="12.5" style="4"/>
  </cols>
  <sheetData>
    <row r="1" spans="1:11" ht="15.5" x14ac:dyDescent="0.35">
      <c r="A1" s="5" t="s">
        <v>76</v>
      </c>
      <c r="B1" s="6" t="s">
        <v>1</v>
      </c>
      <c r="C1" s="3"/>
    </row>
    <row r="2" spans="1:11" ht="20.149999999999999" customHeight="1" x14ac:dyDescent="0.35">
      <c r="A2" s="5" t="s">
        <v>205</v>
      </c>
      <c r="B2" s="6" t="s">
        <v>57</v>
      </c>
    </row>
    <row r="3" spans="1:11" ht="15.75" customHeight="1" x14ac:dyDescent="0.35">
      <c r="A3" s="5" t="s">
        <v>206</v>
      </c>
      <c r="B3" s="6" t="s">
        <v>12</v>
      </c>
    </row>
    <row r="4" spans="1:11" ht="15.75" customHeight="1" x14ac:dyDescent="0.35">
      <c r="A4" s="1" t="s">
        <v>60</v>
      </c>
      <c r="B4" s="2"/>
      <c r="C4" s="21"/>
    </row>
    <row r="5" spans="1:11" ht="15.75" customHeight="1" x14ac:dyDescent="0.35">
      <c r="A5" s="1" t="s">
        <v>61</v>
      </c>
      <c r="B5" s="2" t="s">
        <v>16</v>
      </c>
      <c r="C5" s="21"/>
    </row>
    <row r="6" spans="1:11" ht="15.75" customHeight="1" x14ac:dyDescent="0.35">
      <c r="A6" s="5" t="s">
        <v>5</v>
      </c>
      <c r="B6" s="6"/>
      <c r="C6" s="21"/>
    </row>
    <row r="7" spans="1:11" ht="15.75" customHeight="1" x14ac:dyDescent="0.35">
      <c r="A7" s="5" t="s">
        <v>18</v>
      </c>
      <c r="B7" s="6" t="s">
        <v>20</v>
      </c>
      <c r="C7" s="21"/>
    </row>
    <row r="8" spans="1:11" ht="15.75" customHeight="1" x14ac:dyDescent="0.35">
      <c r="A8" s="5" t="s">
        <v>207</v>
      </c>
      <c r="B8" s="6" t="s">
        <v>65</v>
      </c>
    </row>
    <row r="9" spans="1:11" ht="15.75" customHeight="1" x14ac:dyDescent="0.35">
      <c r="A9" s="5" t="s">
        <v>208</v>
      </c>
      <c r="B9" s="32">
        <v>45202</v>
      </c>
    </row>
    <row r="10" spans="1:11" ht="15.75" customHeight="1" x14ac:dyDescent="0.35">
      <c r="A10" s="5" t="s">
        <v>209</v>
      </c>
      <c r="B10" s="139" t="s">
        <v>8</v>
      </c>
    </row>
    <row r="11" spans="1:11" ht="22.5" customHeight="1" x14ac:dyDescent="0.35">
      <c r="A11" s="5"/>
      <c r="B11" s="139"/>
      <c r="C11" s="20"/>
    </row>
    <row r="12" spans="1:11" ht="22.5" customHeight="1" x14ac:dyDescent="0.35">
      <c r="A12" s="5" t="s">
        <v>210</v>
      </c>
      <c r="B12" s="33"/>
      <c r="D12"/>
      <c r="E12"/>
    </row>
    <row r="13" spans="1:11" ht="16.5" customHeight="1" thickBot="1" x14ac:dyDescent="0.4">
      <c r="A13" s="64" t="s">
        <v>211</v>
      </c>
      <c r="B13" s="65"/>
      <c r="C13" s="147" t="s">
        <v>41</v>
      </c>
      <c r="D13" s="147" t="s">
        <v>42</v>
      </c>
      <c r="E13" s="147" t="s">
        <v>43</v>
      </c>
      <c r="F13" s="147" t="s">
        <v>44</v>
      </c>
      <c r="G13" s="147" t="s">
        <v>45</v>
      </c>
      <c r="H13" s="147" t="s">
        <v>46</v>
      </c>
      <c r="I13" s="147" t="s">
        <v>47</v>
      </c>
      <c r="J13"/>
      <c r="K13"/>
    </row>
    <row r="14" spans="1:11" ht="16.5" customHeight="1" x14ac:dyDescent="0.35">
      <c r="A14" s="66" t="s">
        <v>212</v>
      </c>
      <c r="B14" s="67"/>
      <c r="C14" s="148" t="s">
        <v>213</v>
      </c>
      <c r="D14" s="148" t="s">
        <v>213</v>
      </c>
      <c r="E14" s="148" t="s">
        <v>213</v>
      </c>
      <c r="F14" s="148" t="s">
        <v>213</v>
      </c>
      <c r="G14" s="148" t="s">
        <v>213</v>
      </c>
      <c r="H14" s="148" t="s">
        <v>213</v>
      </c>
      <c r="I14" s="148" t="s">
        <v>213</v>
      </c>
      <c r="J14"/>
      <c r="K14"/>
    </row>
    <row r="15" spans="1:11" ht="16.5" customHeight="1" thickBot="1" x14ac:dyDescent="0.4">
      <c r="A15" s="68" t="s">
        <v>214</v>
      </c>
      <c r="B15" s="69"/>
      <c r="C15" s="149">
        <v>0</v>
      </c>
      <c r="D15" s="149">
        <v>916</v>
      </c>
      <c r="E15" s="149">
        <v>150000</v>
      </c>
      <c r="F15" s="149">
        <v>1170.5</v>
      </c>
      <c r="G15" s="149">
        <v>1170.5</v>
      </c>
      <c r="H15" s="149">
        <v>1170.5</v>
      </c>
      <c r="I15" s="149">
        <v>280</v>
      </c>
      <c r="J15"/>
      <c r="K15"/>
    </row>
    <row r="16" spans="1:11" ht="16.5" customHeight="1" x14ac:dyDescent="0.35">
      <c r="A16" s="70" t="s">
        <v>215</v>
      </c>
      <c r="B16" s="71"/>
      <c r="C16" s="72">
        <v>0</v>
      </c>
      <c r="D16" s="72">
        <v>8029.6559999999999</v>
      </c>
      <c r="E16" s="72">
        <v>1314900</v>
      </c>
      <c r="F16" s="72">
        <v>10260.602999999999</v>
      </c>
      <c r="G16" s="72">
        <v>10260.602999999999</v>
      </c>
      <c r="H16" s="72">
        <v>10260.602999999999</v>
      </c>
      <c r="I16" s="72">
        <v>2454.48</v>
      </c>
      <c r="J16"/>
      <c r="K16"/>
    </row>
    <row r="17" spans="1:11" ht="16.5" customHeight="1" x14ac:dyDescent="0.35">
      <c r="A17" s="70" t="s">
        <v>216</v>
      </c>
      <c r="B17" s="71"/>
      <c r="C17" s="72">
        <v>0</v>
      </c>
      <c r="D17" s="72">
        <v>3391.6600067820268</v>
      </c>
      <c r="E17" s="72">
        <v>555402.83953854151</v>
      </c>
      <c r="F17" s="72">
        <v>4333.9934911990849</v>
      </c>
      <c r="G17" s="72">
        <v>4333.9934911990849</v>
      </c>
      <c r="H17" s="72">
        <v>4333.9934911990849</v>
      </c>
      <c r="I17" s="72">
        <v>1036.751967138611</v>
      </c>
      <c r="J17"/>
      <c r="K17"/>
    </row>
    <row r="18" spans="1:11" ht="18" customHeight="1" x14ac:dyDescent="0.35">
      <c r="A18" s="66" t="s">
        <v>217</v>
      </c>
      <c r="B18" s="67"/>
      <c r="C18" s="150">
        <v>0</v>
      </c>
      <c r="D18" s="150">
        <v>3.3916600067820268</v>
      </c>
      <c r="E18" s="150">
        <v>555.40283953854146</v>
      </c>
      <c r="F18" s="150">
        <v>4.3339934911990854</v>
      </c>
      <c r="G18" s="150">
        <v>4.3339934911990854</v>
      </c>
      <c r="H18" s="150">
        <v>4.3339934911990854</v>
      </c>
      <c r="I18" s="150">
        <v>1.036751967138611</v>
      </c>
      <c r="J18"/>
      <c r="K18"/>
    </row>
    <row r="19" spans="1:11" ht="16.5" customHeight="1" thickBot="1" x14ac:dyDescent="0.4">
      <c r="A19" s="5"/>
      <c r="B19" s="139"/>
      <c r="C19" s="151"/>
      <c r="D19" s="151"/>
      <c r="E19" s="151"/>
      <c r="F19" s="151"/>
      <c r="G19" s="151"/>
      <c r="H19" s="151"/>
      <c r="I19" s="151"/>
    </row>
    <row r="20" spans="1:11" ht="16.5" customHeight="1" x14ac:dyDescent="0.35">
      <c r="A20" s="5" t="s">
        <v>218</v>
      </c>
      <c r="B20" s="33"/>
    </row>
    <row r="21" spans="1:11" ht="16.5" customHeight="1" thickBot="1" x14ac:dyDescent="0.4">
      <c r="A21" s="73" t="s">
        <v>212</v>
      </c>
      <c r="B21" s="74"/>
      <c r="C21" s="75" t="s">
        <v>213</v>
      </c>
      <c r="D21"/>
      <c r="E21"/>
    </row>
    <row r="22" spans="1:11" ht="16.5" customHeight="1" thickBot="1" x14ac:dyDescent="0.4">
      <c r="A22" s="68" t="s">
        <v>214</v>
      </c>
      <c r="B22" s="69"/>
      <c r="C22" s="149">
        <v>154707.5</v>
      </c>
      <c r="D22"/>
      <c r="E22"/>
    </row>
    <row r="23" spans="1:11" ht="16.5" customHeight="1" x14ac:dyDescent="0.35">
      <c r="A23" s="70" t="s">
        <v>215</v>
      </c>
      <c r="B23" s="71"/>
      <c r="C23" s="72">
        <v>1356165.9450000001</v>
      </c>
      <c r="D23"/>
      <c r="E23"/>
    </row>
    <row r="24" spans="1:11" ht="16.5" customHeight="1" x14ac:dyDescent="0.35">
      <c r="A24" s="70" t="s">
        <v>216</v>
      </c>
      <c r="B24" s="71"/>
      <c r="C24" s="72">
        <v>572833.23198605946</v>
      </c>
      <c r="D24"/>
      <c r="E24"/>
    </row>
    <row r="25" spans="1:11" ht="18" customHeight="1" x14ac:dyDescent="0.35">
      <c r="A25" s="66" t="s">
        <v>217</v>
      </c>
      <c r="B25" s="67"/>
      <c r="C25" s="150">
        <v>572.83323198605945</v>
      </c>
      <c r="D25"/>
      <c r="E25"/>
    </row>
    <row r="26" spans="1:11" ht="16.5" customHeight="1" thickBot="1" x14ac:dyDescent="0.4">
      <c r="A26"/>
      <c r="B26"/>
      <c r="C26" s="76"/>
    </row>
    <row r="27" spans="1:11" ht="14.25" customHeight="1" x14ac:dyDescent="0.35">
      <c r="A27" s="5" t="s">
        <v>219</v>
      </c>
      <c r="B27" s="33"/>
      <c r="C27" s="77"/>
    </row>
    <row r="28" spans="1:11" ht="16.5" customHeight="1" thickBot="1" x14ac:dyDescent="0.4">
      <c r="A28" s="68" t="s">
        <v>214</v>
      </c>
      <c r="B28" s="69"/>
      <c r="C28" s="149">
        <v>154707.5</v>
      </c>
      <c r="D28"/>
      <c r="E28"/>
    </row>
    <row r="29" spans="1:11" ht="16.5" customHeight="1" x14ac:dyDescent="0.35">
      <c r="A29" s="70" t="s">
        <v>215</v>
      </c>
      <c r="B29" s="71"/>
      <c r="C29" s="72">
        <v>1356165.9450000001</v>
      </c>
      <c r="D29"/>
      <c r="E29"/>
    </row>
    <row r="30" spans="1:11" ht="16.5" customHeight="1" x14ac:dyDescent="0.35">
      <c r="A30" s="70" t="s">
        <v>216</v>
      </c>
      <c r="B30" s="71"/>
      <c r="C30" s="72">
        <v>572833.23198605946</v>
      </c>
      <c r="D30"/>
      <c r="E30"/>
    </row>
    <row r="31" spans="1:11" ht="18" customHeight="1" x14ac:dyDescent="0.35">
      <c r="A31" s="66" t="s">
        <v>217</v>
      </c>
      <c r="B31" s="67"/>
      <c r="C31" s="150">
        <v>572.83323198605945</v>
      </c>
      <c r="D31"/>
      <c r="E31"/>
    </row>
    <row r="32" spans="1:11" ht="16.5" customHeight="1" thickBot="1" x14ac:dyDescent="0.4">
      <c r="A32"/>
      <c r="B32"/>
      <c r="C32" s="76"/>
    </row>
    <row r="33" spans="1:3" ht="15.5" x14ac:dyDescent="0.35">
      <c r="A33"/>
    </row>
    <row r="34" spans="1:3" ht="18.5" x14ac:dyDescent="0.45">
      <c r="A34" s="78" t="s">
        <v>220</v>
      </c>
    </row>
    <row r="35" spans="1:3" ht="15.5" x14ac:dyDescent="0.35">
      <c r="A35" s="79" t="s">
        <v>221</v>
      </c>
      <c r="B35"/>
      <c r="C35"/>
    </row>
    <row r="36" spans="1:3" ht="19.5" customHeight="1" thickBot="1" x14ac:dyDescent="0.4">
      <c r="A36" s="79" t="s">
        <v>222</v>
      </c>
      <c r="B36"/>
      <c r="C36"/>
    </row>
    <row r="37" spans="1:3" ht="15.75" customHeight="1" x14ac:dyDescent="0.35">
      <c r="A37" s="79" t="s">
        <v>223</v>
      </c>
      <c r="B37"/>
      <c r="C37"/>
    </row>
    <row r="38" spans="1:3" ht="15.5" x14ac:dyDescent="0.35">
      <c r="A38" s="80" t="s">
        <v>224</v>
      </c>
      <c r="B38"/>
      <c r="C38"/>
    </row>
    <row r="41" spans="1:3" ht="16.5" customHeight="1" thickBot="1" x14ac:dyDescent="0.4"/>
    <row r="42" spans="1:3" ht="15.75" customHeight="1" x14ac:dyDescent="0.35"/>
    <row r="45" spans="1:3" ht="19.5" customHeight="1" thickBot="1" x14ac:dyDescent="0.4"/>
    <row r="46" spans="1:3" s="19" customFormat="1" ht="15.75" customHeight="1" x14ac:dyDescent="0.35"/>
    <row r="47" spans="1:3" s="19" customFormat="1" ht="15.75" customHeight="1" x14ac:dyDescent="0.35"/>
    <row r="48" spans="1:3" s="19" customFormat="1" ht="15.75" customHeight="1" x14ac:dyDescent="0.35"/>
    <row r="49" s="19" customFormat="1" ht="15.75" customHeight="1" x14ac:dyDescent="0.35"/>
  </sheetData>
  <pageMargins left="0.75" right="0.75" top="1" bottom="1" header="0.5" footer="0.5"/>
  <pageSetup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workbookViewId="0">
      <selection sqref="A1:H29"/>
    </sheetView>
  </sheetViews>
  <sheetFormatPr defaultRowHeight="15.5" x14ac:dyDescent="0.35"/>
  <cols>
    <col min="1" max="1" width="33.08203125" customWidth="1"/>
    <col min="2" max="2" width="53.5" customWidth="1"/>
    <col min="3" max="3" width="25.33203125" customWidth="1"/>
    <col min="4" max="5" width="15.83203125" customWidth="1"/>
    <col min="6" max="6" width="17" customWidth="1"/>
    <col min="7" max="25" width="12.75" customWidth="1"/>
    <col min="26" max="26" width="12.83203125" customWidth="1"/>
    <col min="27" max="27" width="5.83203125" customWidth="1"/>
    <col min="28" max="28" width="12.83203125" customWidth="1"/>
    <col min="29" max="29" width="5.83203125" customWidth="1"/>
    <col min="30" max="30" width="12.83203125" customWidth="1"/>
    <col min="31" max="31" width="5.83203125" customWidth="1"/>
    <col min="32" max="32" width="12.83203125" customWidth="1"/>
    <col min="33" max="33" width="5.83203125" customWidth="1"/>
    <col min="34" max="34" width="12.83203125" customWidth="1"/>
    <col min="35" max="35" width="5.83203125" customWidth="1"/>
    <col min="36" max="36" width="12.83203125" customWidth="1"/>
    <col min="37" max="37" width="5.83203125" customWidth="1"/>
    <col min="38" max="38" width="12.83203125" customWidth="1"/>
    <col min="39" max="39" width="5.83203125" customWidth="1"/>
    <col min="40" max="40" width="12.83203125" customWidth="1"/>
    <col min="41" max="41" width="5.83203125" customWidth="1"/>
    <col min="42" max="42" width="12.83203125" customWidth="1"/>
    <col min="43" max="43" width="5.83203125" customWidth="1"/>
    <col min="44" max="44" width="12.83203125" customWidth="1"/>
    <col min="45" max="45" width="5.83203125" customWidth="1"/>
    <col min="46" max="46" width="12.83203125" customWidth="1"/>
    <col min="47" max="47" width="5.83203125" customWidth="1"/>
    <col min="48" max="48" width="12.83203125" customWidth="1"/>
    <col min="49" max="49" width="5.83203125" customWidth="1"/>
    <col min="50" max="50" width="12.83203125" customWidth="1"/>
    <col min="51" max="51" width="5.83203125" customWidth="1"/>
    <col min="52" max="52" width="12.83203125" customWidth="1"/>
    <col min="53" max="53" width="5.83203125" customWidth="1"/>
    <col min="54" max="54" width="12.83203125" customWidth="1"/>
    <col min="55" max="55" width="5.83203125" customWidth="1"/>
    <col min="56" max="56" width="12.83203125" customWidth="1"/>
    <col min="57" max="57" width="5.83203125" customWidth="1"/>
    <col min="58" max="58" width="12.83203125" customWidth="1"/>
    <col min="59" max="59" width="5.83203125" customWidth="1"/>
    <col min="60" max="60" width="12.83203125" customWidth="1"/>
    <col min="61" max="61" width="5.83203125" customWidth="1"/>
    <col min="62" max="62" width="12.83203125" customWidth="1"/>
    <col min="63" max="63" width="5.83203125" customWidth="1"/>
    <col min="64" max="64" width="12.83203125" customWidth="1"/>
    <col min="65" max="65" width="5.83203125" customWidth="1"/>
    <col min="66" max="66" width="12.83203125" customWidth="1"/>
    <col min="67" max="67" width="5.83203125" customWidth="1"/>
    <col min="68" max="68" width="12.83203125" customWidth="1"/>
    <col min="69" max="69" width="5.83203125" customWidth="1"/>
    <col min="70" max="70" width="12.83203125" customWidth="1"/>
    <col min="71" max="71" width="5.83203125" customWidth="1"/>
    <col min="72" max="72" width="12.83203125" customWidth="1"/>
    <col min="73" max="73" width="5.83203125" customWidth="1"/>
    <col min="74" max="74" width="12.83203125" customWidth="1"/>
    <col min="75" max="75" width="5.83203125" customWidth="1"/>
    <col min="76" max="76" width="12.83203125" customWidth="1"/>
    <col min="77" max="77" width="15.83203125" customWidth="1"/>
  </cols>
  <sheetData>
    <row r="1" spans="1:8" x14ac:dyDescent="0.35">
      <c r="A1" s="5" t="s">
        <v>76</v>
      </c>
      <c r="B1" s="6" t="s">
        <v>1</v>
      </c>
      <c r="C1" s="84"/>
      <c r="D1" s="84"/>
    </row>
    <row r="2" spans="1:8" x14ac:dyDescent="0.35">
      <c r="A2" s="5" t="s">
        <v>205</v>
      </c>
      <c r="B2" s="6" t="s">
        <v>57</v>
      </c>
    </row>
    <row r="3" spans="1:8" x14ac:dyDescent="0.35">
      <c r="A3" s="5" t="s">
        <v>206</v>
      </c>
      <c r="B3" s="6" t="s">
        <v>12</v>
      </c>
      <c r="C3" s="101" t="s">
        <v>225</v>
      </c>
    </row>
    <row r="4" spans="1:8" ht="20.149999999999999" customHeight="1" x14ac:dyDescent="0.35">
      <c r="A4" s="5" t="s">
        <v>5</v>
      </c>
      <c r="B4" s="6"/>
      <c r="C4" t="s">
        <v>226</v>
      </c>
    </row>
    <row r="5" spans="1:8" x14ac:dyDescent="0.35">
      <c r="A5" s="5" t="s">
        <v>18</v>
      </c>
      <c r="B5" s="6" t="s">
        <v>20</v>
      </c>
      <c r="C5" s="103" t="s">
        <v>227</v>
      </c>
      <c r="D5" s="84"/>
    </row>
    <row r="6" spans="1:8" x14ac:dyDescent="0.35">
      <c r="A6" s="5" t="s">
        <v>207</v>
      </c>
      <c r="B6" s="6" t="s">
        <v>65</v>
      </c>
      <c r="C6" s="103" t="s">
        <v>228</v>
      </c>
    </row>
    <row r="7" spans="1:8" x14ac:dyDescent="0.35">
      <c r="A7" s="5" t="s">
        <v>208</v>
      </c>
      <c r="B7" s="32">
        <v>45202</v>
      </c>
    </row>
    <row r="8" spans="1:8" x14ac:dyDescent="0.35">
      <c r="A8" s="5" t="s">
        <v>209</v>
      </c>
      <c r="B8" s="139" t="s">
        <v>8</v>
      </c>
    </row>
    <row r="9" spans="1:8" x14ac:dyDescent="0.35">
      <c r="A9" s="5"/>
      <c r="B9" s="139"/>
      <c r="C9" s="109"/>
    </row>
    <row r="10" spans="1:8" x14ac:dyDescent="0.35">
      <c r="A10" s="5" t="s">
        <v>68</v>
      </c>
      <c r="B10" s="33">
        <f>total_services_breakdown</f>
        <v>213124.09</v>
      </c>
      <c r="C10" s="2" t="s">
        <v>69</v>
      </c>
    </row>
    <row r="11" spans="1:8" x14ac:dyDescent="0.35">
      <c r="A11" s="34" t="s">
        <v>70</v>
      </c>
      <c r="B11" s="34"/>
      <c r="C11" s="34" t="s">
        <v>71</v>
      </c>
      <c r="D11" s="36" t="s">
        <v>229</v>
      </c>
      <c r="E11" s="36" t="s">
        <v>229</v>
      </c>
      <c r="F11" s="36" t="s">
        <v>230</v>
      </c>
      <c r="G11" s="123" t="s">
        <v>231</v>
      </c>
      <c r="H11" s="124" t="s">
        <v>78</v>
      </c>
    </row>
    <row r="12" spans="1:8" x14ac:dyDescent="0.35">
      <c r="A12" s="39" t="s">
        <v>79</v>
      </c>
      <c r="B12" s="39"/>
      <c r="C12" s="39" t="s">
        <v>80</v>
      </c>
      <c r="D12" s="41" t="s">
        <v>232</v>
      </c>
      <c r="E12" s="41" t="s">
        <v>233</v>
      </c>
      <c r="F12" s="41" t="s">
        <v>234</v>
      </c>
      <c r="G12" s="125"/>
      <c r="H12" s="126" t="s">
        <v>22</v>
      </c>
    </row>
    <row r="13" spans="1:8" ht="16.5" customHeight="1" thickBot="1" x14ac:dyDescent="0.4">
      <c r="A13" s="44" t="s">
        <v>50</v>
      </c>
      <c r="B13" s="44"/>
      <c r="C13" s="44"/>
      <c r="D13" s="44"/>
      <c r="E13" s="44"/>
      <c r="F13" s="44"/>
      <c r="G13" s="127"/>
      <c r="H13" s="128"/>
    </row>
    <row r="14" spans="1:8" ht="16.5" customHeight="1" x14ac:dyDescent="0.35">
      <c r="A14" s="50" t="s">
        <v>171</v>
      </c>
      <c r="B14" s="50"/>
      <c r="C14" s="50" t="s">
        <v>172</v>
      </c>
      <c r="D14" s="129"/>
      <c r="E14" s="129"/>
      <c r="F14" s="129"/>
      <c r="G14" s="130">
        <v>18458.25</v>
      </c>
      <c r="H14" s="130">
        <v>18458.25</v>
      </c>
    </row>
    <row r="15" spans="1:8" ht="16.5" customHeight="1" thickBot="1" x14ac:dyDescent="0.4">
      <c r="A15" s="50" t="s">
        <v>173</v>
      </c>
      <c r="B15" s="50"/>
      <c r="C15" s="50" t="s">
        <v>174</v>
      </c>
      <c r="D15" s="129"/>
      <c r="E15" s="129"/>
      <c r="F15" s="129"/>
      <c r="G15" s="130">
        <v>6580.84</v>
      </c>
      <c r="H15" s="130">
        <v>6580.84</v>
      </c>
    </row>
    <row r="16" spans="1:8" x14ac:dyDescent="0.35">
      <c r="A16" s="44" t="s">
        <v>52</v>
      </c>
      <c r="B16" s="44"/>
      <c r="C16" s="44"/>
      <c r="D16" s="44"/>
      <c r="E16" s="44"/>
      <c r="F16" s="44"/>
      <c r="G16" s="127"/>
      <c r="H16" s="128"/>
    </row>
    <row r="17" spans="1:10" x14ac:dyDescent="0.35">
      <c r="A17" s="50" t="s">
        <v>176</v>
      </c>
      <c r="B17" s="50"/>
      <c r="C17" s="50" t="s">
        <v>177</v>
      </c>
      <c r="D17" s="129">
        <v>1</v>
      </c>
      <c r="E17" s="129">
        <v>0</v>
      </c>
      <c r="F17" s="129"/>
      <c r="G17" s="130">
        <v>29258</v>
      </c>
      <c r="H17" s="130">
        <v>29258</v>
      </c>
    </row>
    <row r="18" spans="1:10" ht="16.5" customHeight="1" thickBot="1" x14ac:dyDescent="0.4">
      <c r="A18" s="50" t="s">
        <v>178</v>
      </c>
      <c r="B18" s="50"/>
      <c r="C18" s="50" t="s">
        <v>179</v>
      </c>
      <c r="D18" s="129">
        <v>1</v>
      </c>
      <c r="E18" s="129">
        <v>0</v>
      </c>
      <c r="F18" s="129"/>
      <c r="G18" s="130">
        <v>59542</v>
      </c>
      <c r="H18" s="130">
        <v>59542</v>
      </c>
    </row>
    <row r="19" spans="1:10" ht="17.25" customHeight="1" thickBot="1" x14ac:dyDescent="0.4">
      <c r="A19" s="50" t="s">
        <v>180</v>
      </c>
      <c r="B19" s="50"/>
      <c r="C19" s="50" t="s">
        <v>181</v>
      </c>
      <c r="D19" s="129">
        <v>1</v>
      </c>
      <c r="E19" s="129">
        <v>0</v>
      </c>
      <c r="F19" s="129"/>
      <c r="G19" s="130">
        <v>3226</v>
      </c>
      <c r="H19" s="130">
        <v>3226</v>
      </c>
    </row>
    <row r="20" spans="1:10" x14ac:dyDescent="0.35">
      <c r="A20" s="50" t="s">
        <v>182</v>
      </c>
      <c r="B20" s="50"/>
      <c r="C20" s="50" t="s">
        <v>183</v>
      </c>
      <c r="D20" s="129">
        <v>1</v>
      </c>
      <c r="E20" s="129">
        <v>0</v>
      </c>
      <c r="F20" s="129"/>
      <c r="G20" s="130">
        <v>6565</v>
      </c>
      <c r="H20" s="130">
        <v>6565</v>
      </c>
    </row>
    <row r="21" spans="1:10" s="110" customFormat="1" x14ac:dyDescent="0.35">
      <c r="A21" s="50" t="s">
        <v>184</v>
      </c>
      <c r="B21" s="50"/>
      <c r="C21" s="50" t="s">
        <v>185</v>
      </c>
      <c r="D21" s="129">
        <v>1</v>
      </c>
      <c r="E21" s="129">
        <v>0</v>
      </c>
      <c r="F21" s="129"/>
      <c r="G21" s="130">
        <v>10016</v>
      </c>
      <c r="H21" s="130">
        <v>10016</v>
      </c>
      <c r="I21"/>
      <c r="J21"/>
    </row>
    <row r="22" spans="1:10" s="110" customFormat="1" x14ac:dyDescent="0.35">
      <c r="A22" s="50" t="s">
        <v>186</v>
      </c>
      <c r="B22" s="50"/>
      <c r="C22" s="50" t="s">
        <v>187</v>
      </c>
      <c r="D22" s="129">
        <v>1</v>
      </c>
      <c r="E22" s="129">
        <v>0</v>
      </c>
      <c r="F22" s="129"/>
      <c r="G22" s="130">
        <v>20384</v>
      </c>
      <c r="H22" s="130">
        <v>20384</v>
      </c>
      <c r="I22"/>
      <c r="J22"/>
    </row>
    <row r="23" spans="1:10" s="110" customFormat="1" x14ac:dyDescent="0.35">
      <c r="A23" s="50" t="s">
        <v>188</v>
      </c>
      <c r="B23" s="50"/>
      <c r="C23" s="50" t="s">
        <v>189</v>
      </c>
      <c r="D23" s="129">
        <v>1</v>
      </c>
      <c r="E23" s="129">
        <v>0</v>
      </c>
      <c r="F23" s="129"/>
      <c r="G23" s="130">
        <v>1360</v>
      </c>
      <c r="H23" s="130">
        <v>1360</v>
      </c>
      <c r="I23"/>
      <c r="J23"/>
    </row>
    <row r="24" spans="1:10" s="110" customFormat="1" x14ac:dyDescent="0.35">
      <c r="A24" s="50" t="s">
        <v>190</v>
      </c>
      <c r="B24" s="50"/>
      <c r="C24" s="50" t="s">
        <v>191</v>
      </c>
      <c r="D24" s="129">
        <v>1</v>
      </c>
      <c r="E24" s="129">
        <v>0</v>
      </c>
      <c r="F24" s="129"/>
      <c r="G24" s="130">
        <v>2767</v>
      </c>
      <c r="H24" s="130">
        <v>2767</v>
      </c>
      <c r="I24"/>
      <c r="J24"/>
    </row>
    <row r="25" spans="1:10" s="110" customFormat="1" x14ac:dyDescent="0.35">
      <c r="A25" s="50" t="s">
        <v>192</v>
      </c>
      <c r="B25" s="50"/>
      <c r="C25" s="50" t="s">
        <v>193</v>
      </c>
      <c r="D25" s="129">
        <v>1</v>
      </c>
      <c r="E25" s="129">
        <v>0</v>
      </c>
      <c r="F25" s="129"/>
      <c r="G25" s="130">
        <v>28800</v>
      </c>
      <c r="H25" s="130">
        <v>28800</v>
      </c>
      <c r="I25"/>
      <c r="J25"/>
    </row>
    <row r="26" spans="1:10" x14ac:dyDescent="0.35">
      <c r="A26" s="50" t="s">
        <v>194</v>
      </c>
      <c r="B26" s="50"/>
      <c r="C26" s="50" t="s">
        <v>195</v>
      </c>
      <c r="D26" s="129">
        <v>1</v>
      </c>
      <c r="E26" s="129">
        <v>0</v>
      </c>
      <c r="F26" s="129"/>
      <c r="G26" s="130">
        <v>990</v>
      </c>
      <c r="H26" s="130">
        <v>990</v>
      </c>
    </row>
    <row r="27" spans="1:10" x14ac:dyDescent="0.35">
      <c r="A27" s="50" t="s">
        <v>196</v>
      </c>
      <c r="B27" s="50"/>
      <c r="C27" s="50" t="s">
        <v>197</v>
      </c>
      <c r="D27" s="129">
        <v>1</v>
      </c>
      <c r="E27" s="129">
        <v>0</v>
      </c>
      <c r="F27" s="129"/>
      <c r="G27" s="130">
        <v>25177</v>
      </c>
      <c r="H27" s="130">
        <v>25177</v>
      </c>
    </row>
    <row r="28" spans="1:10" ht="12.75" customHeight="1" x14ac:dyDescent="0.35">
      <c r="A28" s="26" t="s">
        <v>199</v>
      </c>
      <c r="B28" s="26"/>
      <c r="C28" s="26"/>
      <c r="D28" s="26"/>
      <c r="E28" s="26"/>
      <c r="F28" s="26"/>
      <c r="G28" s="152">
        <f>SUM(G13:G27)</f>
        <v>213124.09</v>
      </c>
      <c r="H28" s="152">
        <f>SUM(H13:H27)</f>
        <v>213124.09</v>
      </c>
    </row>
    <row r="29" spans="1:10" ht="12.75" customHeight="1" x14ac:dyDescent="0.35">
      <c r="A29" s="82"/>
      <c r="B29" s="116"/>
      <c r="C29" s="116"/>
      <c r="D29" s="116"/>
      <c r="E29" s="116"/>
      <c r="F29" s="116"/>
      <c r="G29" s="145"/>
    </row>
    <row r="30" spans="1:10" x14ac:dyDescent="0.35">
      <c r="A30" s="82"/>
      <c r="B30" s="116"/>
      <c r="C30" s="116"/>
      <c r="D30" s="116"/>
      <c r="E30" s="116"/>
      <c r="F30" s="116"/>
      <c r="G30" s="145"/>
    </row>
    <row r="31" spans="1:10" ht="16.5" customHeight="1" thickBot="1" x14ac:dyDescent="0.4">
      <c r="A31" s="82"/>
      <c r="B31" s="116"/>
      <c r="C31" s="116"/>
      <c r="D31" s="116"/>
      <c r="E31" s="116"/>
      <c r="F31" s="116"/>
      <c r="G31" s="145"/>
    </row>
    <row r="32" spans="1:10" ht="15" customHeight="1" thickBot="1" x14ac:dyDescent="0.4">
      <c r="A32" s="82"/>
      <c r="B32" s="116"/>
      <c r="C32" s="116"/>
      <c r="D32" s="116"/>
      <c r="E32" s="116"/>
      <c r="F32" s="116"/>
      <c r="G32" s="145"/>
    </row>
    <row r="33" spans="1:7" ht="16.5" customHeight="1" thickBot="1" x14ac:dyDescent="0.4">
      <c r="A33" s="82"/>
      <c r="B33" s="116"/>
      <c r="C33" s="116"/>
      <c r="D33" s="116"/>
      <c r="E33" s="116"/>
      <c r="F33" s="116"/>
      <c r="G33" s="145"/>
    </row>
    <row r="34" spans="1:7" ht="15" customHeight="1" thickBot="1" x14ac:dyDescent="0.4">
      <c r="A34" s="82"/>
      <c r="B34" s="116"/>
      <c r="C34" s="116"/>
      <c r="D34" s="116"/>
      <c r="E34" s="116"/>
      <c r="F34" s="116"/>
      <c r="G34" s="145"/>
    </row>
    <row r="35" spans="1:7" ht="15" customHeight="1" thickBot="1" x14ac:dyDescent="0.4">
      <c r="A35" s="82"/>
      <c r="B35" s="116"/>
      <c r="C35" s="116"/>
      <c r="D35" s="116"/>
      <c r="E35" s="116"/>
      <c r="F35" s="116"/>
      <c r="G35" s="145"/>
    </row>
    <row r="36" spans="1:7" x14ac:dyDescent="0.35">
      <c r="A36" s="82"/>
      <c r="B36" s="116"/>
      <c r="C36" s="116"/>
      <c r="D36" s="116"/>
      <c r="E36" s="116"/>
      <c r="F36" s="116"/>
      <c r="G36" s="145"/>
    </row>
    <row r="37" spans="1:7" ht="16.5" customHeight="1" thickBot="1" x14ac:dyDescent="0.4"/>
    <row r="38" spans="1:7" ht="15" customHeight="1" thickBot="1" x14ac:dyDescent="0.4"/>
  </sheetData>
  <pageMargins left="0.75" right="0.75" top="1" bottom="1" header="0.5" footer="0.5"/>
  <pageSetup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98"/>
  <sheetViews>
    <sheetView showGridLines="0" tabSelected="1" topLeftCell="A64" zoomScale="40" zoomScaleNormal="40" workbookViewId="0">
      <selection activeCell="T90" sqref="A1:T90"/>
    </sheetView>
  </sheetViews>
  <sheetFormatPr defaultColWidth="11.5" defaultRowHeight="12" x14ac:dyDescent="0.3"/>
  <cols>
    <col min="1" max="1" width="31.58203125" style="119" customWidth="1"/>
    <col min="2" max="2" width="15.08203125" style="119" customWidth="1"/>
    <col min="3" max="3" width="22.5" style="119" customWidth="1"/>
    <col min="4" max="4" width="14.83203125" style="119" customWidth="1"/>
    <col min="5" max="5" width="16.83203125" style="119" customWidth="1"/>
    <col min="6" max="6" width="16.5" style="119" customWidth="1"/>
    <col min="7" max="7" width="11.5" style="119" customWidth="1"/>
    <col min="8" max="16384" width="11.5" style="119"/>
  </cols>
  <sheetData>
    <row r="1" spans="1:12" ht="15.75" customHeight="1" x14ac:dyDescent="0.3">
      <c r="A1" s="1" t="s">
        <v>76</v>
      </c>
      <c r="B1" s="6" t="s">
        <v>1</v>
      </c>
      <c r="C1" s="131"/>
      <c r="D1" s="87"/>
      <c r="E1" s="87"/>
      <c r="F1" s="87"/>
      <c r="G1" s="87"/>
      <c r="H1" s="87"/>
      <c r="I1" s="87"/>
      <c r="J1" s="85"/>
      <c r="K1" s="89"/>
      <c r="L1" s="153"/>
    </row>
    <row r="2" spans="1:12" ht="15.75" customHeight="1" x14ac:dyDescent="0.3">
      <c r="A2" s="1" t="s">
        <v>205</v>
      </c>
      <c r="B2" s="6" t="s">
        <v>57</v>
      </c>
      <c r="C2" s="131"/>
      <c r="D2" s="87"/>
      <c r="E2" s="87"/>
      <c r="F2" s="87"/>
      <c r="G2" s="87"/>
      <c r="H2" s="87"/>
      <c r="I2" s="87"/>
      <c r="J2" s="85"/>
      <c r="K2" s="89"/>
      <c r="L2" s="153"/>
    </row>
    <row r="3" spans="1:12" ht="15.75" customHeight="1" x14ac:dyDescent="0.3">
      <c r="A3" s="1" t="s">
        <v>5</v>
      </c>
      <c r="B3" s="6" t="s">
        <v>12</v>
      </c>
      <c r="C3" s="131"/>
      <c r="D3" s="87"/>
      <c r="E3" s="87"/>
      <c r="F3" s="87"/>
      <c r="G3" s="87"/>
      <c r="H3" s="87"/>
      <c r="I3" s="87"/>
      <c r="J3" s="85"/>
      <c r="K3" s="89"/>
      <c r="L3" s="153"/>
    </row>
    <row r="4" spans="1:12" ht="15.75" customHeight="1" x14ac:dyDescent="0.3">
      <c r="A4" s="1" t="s">
        <v>235</v>
      </c>
      <c r="B4" s="6"/>
      <c r="C4" s="87"/>
      <c r="D4" s="87"/>
      <c r="E4" s="87"/>
      <c r="F4" s="87"/>
      <c r="G4" s="87"/>
      <c r="H4" s="87"/>
      <c r="I4" s="87"/>
      <c r="J4" s="85"/>
      <c r="K4" s="89"/>
      <c r="L4" s="153"/>
    </row>
    <row r="5" spans="1:12" ht="15.75" customHeight="1" x14ac:dyDescent="0.3">
      <c r="A5" s="1" t="s">
        <v>18</v>
      </c>
      <c r="B5" s="6" t="s">
        <v>20</v>
      </c>
      <c r="C5" s="131"/>
      <c r="D5" s="87"/>
      <c r="E5" s="87"/>
      <c r="F5" s="87"/>
      <c r="G5" s="87"/>
      <c r="H5" s="87"/>
      <c r="I5" s="87"/>
      <c r="J5" s="85"/>
      <c r="K5" s="89"/>
      <c r="L5" s="153"/>
    </row>
    <row r="6" spans="1:12" ht="15.75" customHeight="1" x14ac:dyDescent="0.3">
      <c r="A6" s="1" t="s">
        <v>236</v>
      </c>
      <c r="B6" s="6" t="s">
        <v>65</v>
      </c>
      <c r="C6" s="131"/>
      <c r="D6" s="131"/>
      <c r="E6" s="131"/>
      <c r="F6" s="87"/>
      <c r="G6" s="87"/>
      <c r="H6" s="87"/>
      <c r="I6" s="87"/>
      <c r="J6" s="85"/>
      <c r="K6" s="89"/>
      <c r="L6" s="153"/>
    </row>
    <row r="7" spans="1:12" ht="15.75" customHeight="1" x14ac:dyDescent="0.3">
      <c r="A7" s="1"/>
      <c r="B7" s="6"/>
      <c r="C7" s="87"/>
      <c r="D7" s="87"/>
      <c r="E7" s="87"/>
      <c r="F7" s="87"/>
      <c r="G7" s="87"/>
      <c r="H7" s="87"/>
      <c r="I7" s="87"/>
      <c r="J7" s="85"/>
      <c r="K7" s="89"/>
      <c r="L7" s="153"/>
    </row>
    <row r="8" spans="1:12" ht="15.75" customHeight="1" x14ac:dyDescent="0.3">
      <c r="A8" s="1" t="s">
        <v>208</v>
      </c>
      <c r="B8" s="6"/>
      <c r="C8" s="87"/>
      <c r="D8" s="87"/>
      <c r="E8" s="87"/>
      <c r="F8" s="87"/>
      <c r="G8" s="87"/>
      <c r="H8" s="87"/>
      <c r="I8" s="87"/>
      <c r="J8" s="85"/>
      <c r="K8" s="89"/>
      <c r="L8" s="153"/>
    </row>
    <row r="9" spans="1:12" ht="15.75" customHeight="1" x14ac:dyDescent="0.3">
      <c r="A9" s="1" t="s">
        <v>209</v>
      </c>
      <c r="B9" s="6" t="s">
        <v>8</v>
      </c>
      <c r="C9" s="131"/>
      <c r="D9" s="87"/>
      <c r="E9" s="87"/>
      <c r="F9" s="87"/>
      <c r="G9" s="87"/>
      <c r="H9" s="87"/>
      <c r="I9" s="87"/>
      <c r="J9" s="132"/>
      <c r="K9" s="132"/>
      <c r="L9" s="85"/>
    </row>
    <row r="10" spans="1:12" ht="15.75" customHeight="1" x14ac:dyDescent="0.3">
      <c r="A10" s="1"/>
      <c r="B10" s="6"/>
      <c r="C10" s="87"/>
      <c r="D10" s="87"/>
      <c r="E10" s="87"/>
      <c r="F10" s="87"/>
      <c r="G10" s="87"/>
      <c r="H10" s="87"/>
      <c r="I10" s="87"/>
      <c r="J10" s="132"/>
      <c r="K10" s="132"/>
      <c r="L10" s="85"/>
    </row>
    <row r="11" spans="1:12" ht="15.75" customHeight="1" x14ac:dyDescent="0.3">
      <c r="A11" s="1" t="s">
        <v>237</v>
      </c>
      <c r="B11" s="32">
        <v>45202</v>
      </c>
      <c r="C11" s="87"/>
      <c r="D11" s="87"/>
      <c r="E11" s="87"/>
      <c r="F11" s="87"/>
      <c r="G11" s="87"/>
      <c r="H11" s="87"/>
      <c r="I11" s="87"/>
      <c r="J11" s="132"/>
      <c r="K11" s="132"/>
      <c r="L11" s="85"/>
    </row>
    <row r="12" spans="1:12" ht="15.75" customHeight="1" x14ac:dyDescent="0.3">
      <c r="A12" s="1" t="s">
        <v>238</v>
      </c>
      <c r="B12" s="6" t="s">
        <v>239</v>
      </c>
      <c r="C12" s="131"/>
      <c r="D12" s="87"/>
      <c r="E12" s="87"/>
      <c r="F12" s="87"/>
      <c r="G12" s="87"/>
      <c r="H12" s="87"/>
      <c r="I12" s="87"/>
      <c r="J12" s="132"/>
      <c r="K12" s="132"/>
      <c r="L12" s="85"/>
    </row>
    <row r="13" spans="1:12" ht="14.25" customHeight="1" x14ac:dyDescent="0.3">
      <c r="A13" s="87"/>
      <c r="B13" s="87"/>
      <c r="C13" s="87"/>
      <c r="D13" s="87"/>
      <c r="E13" s="87"/>
      <c r="F13" s="87"/>
      <c r="G13" s="87"/>
      <c r="H13" s="87"/>
      <c r="I13" s="87"/>
      <c r="J13" s="85"/>
      <c r="K13" s="85"/>
      <c r="L13" s="85"/>
    </row>
    <row r="14" spans="1:12" ht="18" customHeight="1" x14ac:dyDescent="0.4">
      <c r="A14" s="87"/>
      <c r="B14" s="133"/>
      <c r="C14" s="133"/>
      <c r="D14" s="133"/>
      <c r="E14" s="133"/>
      <c r="F14" s="133"/>
      <c r="G14" s="133"/>
      <c r="H14" s="133"/>
      <c r="I14" s="133"/>
      <c r="J14" s="85"/>
      <c r="K14" s="85"/>
      <c r="L14" s="85"/>
    </row>
    <row r="15" spans="1:12" ht="18" customHeight="1" x14ac:dyDescent="0.4">
      <c r="A15" s="87"/>
      <c r="B15" s="134" t="s">
        <v>240</v>
      </c>
      <c r="C15" s="133"/>
      <c r="D15" s="133"/>
      <c r="E15" s="133"/>
      <c r="F15" s="133"/>
      <c r="G15" s="133"/>
      <c r="H15" s="133"/>
      <c r="I15" s="133"/>
      <c r="J15" s="85"/>
      <c r="K15" s="85"/>
      <c r="L15" s="85"/>
    </row>
    <row r="16" spans="1:12" ht="18" customHeight="1" x14ac:dyDescent="0.4">
      <c r="A16" s="87"/>
      <c r="B16" s="134" t="s">
        <v>241</v>
      </c>
      <c r="C16" s="133"/>
      <c r="D16" s="133"/>
      <c r="E16" s="133"/>
      <c r="F16" s="133"/>
      <c r="G16" s="133"/>
      <c r="H16" s="133"/>
      <c r="I16" s="133"/>
      <c r="J16" s="85"/>
      <c r="K16" s="85"/>
      <c r="L16" s="85"/>
    </row>
    <row r="17" spans="1:9" ht="18" customHeight="1" x14ac:dyDescent="0.4">
      <c r="A17" s="87"/>
      <c r="B17" s="134" t="s">
        <v>242</v>
      </c>
      <c r="C17" s="133"/>
      <c r="D17" s="133"/>
      <c r="E17" s="133"/>
      <c r="F17" s="133"/>
      <c r="G17" s="133"/>
      <c r="H17" s="133"/>
      <c r="I17" s="133"/>
    </row>
    <row r="18" spans="1:9" ht="14.25" customHeight="1" x14ac:dyDescent="0.3">
      <c r="A18" s="87"/>
      <c r="B18" s="87"/>
      <c r="C18" s="87"/>
      <c r="D18" s="87"/>
      <c r="E18" s="87"/>
      <c r="F18" s="87"/>
      <c r="G18" s="87"/>
      <c r="H18" s="87"/>
      <c r="I18" s="87"/>
    </row>
    <row r="19" spans="1:9" ht="14.25" customHeight="1" x14ac:dyDescent="0.35">
      <c r="A19" s="87"/>
      <c r="B19" s="135" t="s">
        <v>243</v>
      </c>
      <c r="C19" s="87"/>
      <c r="D19" s="87"/>
      <c r="E19" s="87"/>
      <c r="F19" s="87"/>
      <c r="G19" s="87"/>
      <c r="H19" s="87"/>
      <c r="I19" s="87"/>
    </row>
    <row r="20" spans="1:9" ht="15.75" customHeight="1" x14ac:dyDescent="0.35">
      <c r="A20" s="87"/>
      <c r="B20" s="135"/>
      <c r="C20" s="87" t="s">
        <v>244</v>
      </c>
      <c r="D20" s="87"/>
      <c r="E20" s="87"/>
      <c r="F20" s="87"/>
      <c r="G20" s="87"/>
      <c r="H20" s="87"/>
      <c r="I20" s="87"/>
    </row>
    <row r="21" spans="1:9" ht="14.25" customHeight="1" x14ac:dyDescent="0.35">
      <c r="A21" s="87"/>
      <c r="B21" s="135"/>
      <c r="C21" s="87"/>
      <c r="D21" s="87" t="s">
        <v>245</v>
      </c>
      <c r="E21" s="87"/>
      <c r="F21" s="87"/>
      <c r="G21" s="87"/>
      <c r="H21" s="87"/>
      <c r="I21" s="87"/>
    </row>
    <row r="22" spans="1:9" ht="15.5" x14ac:dyDescent="0.35">
      <c r="A22" s="87"/>
      <c r="B22" s="135"/>
      <c r="C22" s="87"/>
      <c r="D22" s="87" t="s">
        <v>246</v>
      </c>
      <c r="E22" s="87"/>
      <c r="F22" s="87"/>
      <c r="G22" s="87"/>
      <c r="H22" s="87"/>
      <c r="I22" s="87"/>
    </row>
    <row r="23" spans="1:9" ht="15.5" x14ac:dyDescent="0.35">
      <c r="A23" s="87"/>
      <c r="B23" s="135"/>
      <c r="C23" s="87"/>
      <c r="D23" s="87" t="s">
        <v>247</v>
      </c>
      <c r="E23" s="87"/>
      <c r="F23" s="87"/>
      <c r="G23" s="87"/>
      <c r="H23" s="87"/>
      <c r="I23" s="87"/>
    </row>
    <row r="24" spans="1:9" ht="15.5" x14ac:dyDescent="0.35">
      <c r="A24" s="87"/>
      <c r="B24" s="135"/>
      <c r="C24" s="87"/>
      <c r="D24" s="87" t="s">
        <v>248</v>
      </c>
      <c r="E24" s="87"/>
      <c r="F24" s="87"/>
      <c r="G24" s="87"/>
      <c r="H24" s="87"/>
      <c r="I24" s="87"/>
    </row>
    <row r="25" spans="1:9" ht="15.5" x14ac:dyDescent="0.35">
      <c r="A25" s="87"/>
      <c r="B25" s="135"/>
      <c r="C25" s="87"/>
      <c r="D25" s="87" t="s">
        <v>249</v>
      </c>
      <c r="E25" s="87"/>
      <c r="F25" s="87"/>
      <c r="G25" s="87"/>
      <c r="H25" s="87"/>
      <c r="I25" s="87"/>
    </row>
    <row r="26" spans="1:9" ht="15.5" x14ac:dyDescent="0.35">
      <c r="A26" s="87"/>
      <c r="B26" s="135"/>
      <c r="C26" s="87"/>
      <c r="D26" s="87" t="s">
        <v>250</v>
      </c>
      <c r="E26" s="87"/>
      <c r="F26" s="87"/>
      <c r="G26" s="87"/>
      <c r="H26" s="87"/>
      <c r="I26" s="87"/>
    </row>
    <row r="27" spans="1:9" ht="15.5" x14ac:dyDescent="0.35">
      <c r="A27" s="87"/>
      <c r="B27" s="135"/>
      <c r="C27" s="87"/>
      <c r="D27" s="87" t="s">
        <v>251</v>
      </c>
      <c r="E27" s="87"/>
      <c r="F27" s="87"/>
      <c r="G27" s="87"/>
      <c r="H27" s="87"/>
      <c r="I27" s="87"/>
    </row>
    <row r="28" spans="1:9" ht="15.5" x14ac:dyDescent="0.35">
      <c r="A28" s="87"/>
      <c r="B28" s="135"/>
      <c r="C28" s="87"/>
      <c r="D28" s="87" t="s">
        <v>252</v>
      </c>
      <c r="E28" s="87"/>
      <c r="F28" s="87"/>
      <c r="G28" s="87"/>
      <c r="H28" s="87"/>
      <c r="I28" s="87"/>
    </row>
    <row r="29" spans="1:9" ht="15.5" x14ac:dyDescent="0.35">
      <c r="A29" s="87"/>
      <c r="B29" s="135"/>
      <c r="C29" s="87"/>
      <c r="D29" s="87" t="s">
        <v>253</v>
      </c>
      <c r="E29" s="87"/>
      <c r="F29" s="87"/>
      <c r="G29" s="87"/>
      <c r="H29" s="87"/>
      <c r="I29" s="87"/>
    </row>
    <row r="30" spans="1:9" ht="15.5" x14ac:dyDescent="0.35">
      <c r="A30" s="87"/>
      <c r="B30" s="135"/>
      <c r="C30" s="87"/>
      <c r="D30" s="87" t="s">
        <v>254</v>
      </c>
      <c r="E30" s="87"/>
      <c r="F30" s="87"/>
      <c r="G30" s="87"/>
      <c r="H30" s="87"/>
      <c r="I30" s="87"/>
    </row>
    <row r="31" spans="1:9" ht="15.5" x14ac:dyDescent="0.35">
      <c r="A31" s="87"/>
      <c r="B31" s="135"/>
      <c r="C31" s="87"/>
      <c r="D31" s="87" t="s">
        <v>255</v>
      </c>
      <c r="E31" s="87"/>
      <c r="F31" s="87"/>
      <c r="G31" s="87"/>
      <c r="H31" s="87"/>
      <c r="I31" s="87"/>
    </row>
    <row r="32" spans="1:9" ht="15.5" x14ac:dyDescent="0.35">
      <c r="A32" s="87"/>
      <c r="B32" s="135"/>
      <c r="C32" s="87" t="s">
        <v>256</v>
      </c>
      <c r="D32" s="87"/>
      <c r="E32" s="87"/>
      <c r="F32" s="87"/>
      <c r="G32" s="87"/>
      <c r="H32" s="87"/>
      <c r="I32" s="87"/>
    </row>
    <row r="33" spans="1:9" ht="15.5" x14ac:dyDescent="0.35">
      <c r="A33" s="87"/>
      <c r="B33" s="135"/>
      <c r="C33" s="87"/>
      <c r="D33" s="87" t="s">
        <v>257</v>
      </c>
      <c r="E33" s="87"/>
      <c r="F33" s="87"/>
      <c r="G33" s="87"/>
      <c r="H33" s="87"/>
      <c r="I33" s="87"/>
    </row>
    <row r="34" spans="1:9" ht="15.5" x14ac:dyDescent="0.35">
      <c r="A34" s="87"/>
      <c r="B34" s="135"/>
      <c r="C34" s="87"/>
      <c r="D34" s="87" t="s">
        <v>258</v>
      </c>
      <c r="E34" s="87"/>
      <c r="F34" s="87"/>
      <c r="G34" s="87"/>
      <c r="H34" s="87"/>
      <c r="I34" s="87"/>
    </row>
    <row r="35" spans="1:9" ht="15.5" x14ac:dyDescent="0.35">
      <c r="A35" s="87"/>
      <c r="B35" s="135"/>
      <c r="C35" s="87"/>
      <c r="D35" s="87" t="s">
        <v>259</v>
      </c>
      <c r="E35" s="87"/>
      <c r="F35" s="87"/>
      <c r="G35" s="87"/>
      <c r="H35" s="87"/>
      <c r="I35" s="87"/>
    </row>
    <row r="36" spans="1:9" ht="15.5" x14ac:dyDescent="0.35">
      <c r="A36" s="87"/>
      <c r="B36" s="135"/>
      <c r="C36" s="87"/>
      <c r="D36" s="87" t="s">
        <v>260</v>
      </c>
      <c r="E36" s="87"/>
      <c r="F36" s="87"/>
      <c r="G36" s="87"/>
      <c r="H36" s="87"/>
      <c r="I36" s="87"/>
    </row>
    <row r="37" spans="1:9" ht="15.5" x14ac:dyDescent="0.35">
      <c r="A37" s="87"/>
      <c r="B37" s="135"/>
      <c r="C37" s="87"/>
      <c r="D37" s="87" t="s">
        <v>261</v>
      </c>
      <c r="E37" s="87"/>
      <c r="F37" s="87"/>
      <c r="G37" s="87"/>
      <c r="H37" s="87"/>
      <c r="I37" s="87"/>
    </row>
    <row r="38" spans="1:9" ht="15.5" x14ac:dyDescent="0.35">
      <c r="A38" s="87"/>
      <c r="B38" s="135"/>
      <c r="C38" s="87"/>
      <c r="D38" s="87" t="s">
        <v>262</v>
      </c>
      <c r="E38" s="87"/>
      <c r="F38" s="87"/>
      <c r="G38" s="87"/>
      <c r="H38" s="87"/>
      <c r="I38" s="87"/>
    </row>
    <row r="39" spans="1:9" ht="15.5" x14ac:dyDescent="0.35">
      <c r="A39" s="87"/>
      <c r="B39" s="135"/>
      <c r="C39" s="87"/>
      <c r="D39" s="87" t="s">
        <v>263</v>
      </c>
      <c r="E39" s="87"/>
      <c r="F39" s="87"/>
      <c r="G39" s="87"/>
      <c r="H39" s="87"/>
      <c r="I39" s="87"/>
    </row>
    <row r="40" spans="1:9" ht="15.5" x14ac:dyDescent="0.35">
      <c r="A40" s="87"/>
      <c r="B40" s="135"/>
      <c r="C40" s="87"/>
      <c r="D40" s="87" t="s">
        <v>264</v>
      </c>
      <c r="E40" s="87"/>
      <c r="F40" s="87"/>
      <c r="G40" s="87"/>
      <c r="H40" s="87"/>
      <c r="I40" s="87"/>
    </row>
    <row r="41" spans="1:9" ht="15.5" x14ac:dyDescent="0.35">
      <c r="A41" s="87"/>
      <c r="B41" s="135"/>
      <c r="C41" s="87"/>
      <c r="D41" s="87" t="s">
        <v>265</v>
      </c>
      <c r="E41" s="87"/>
      <c r="F41" s="87"/>
      <c r="G41" s="87"/>
      <c r="H41" s="87"/>
      <c r="I41" s="87"/>
    </row>
    <row r="42" spans="1:9" ht="15.5" x14ac:dyDescent="0.35">
      <c r="A42" s="87"/>
      <c r="B42" s="135"/>
      <c r="C42" s="87"/>
      <c r="D42" s="87" t="s">
        <v>266</v>
      </c>
      <c r="E42" s="87"/>
      <c r="F42" s="87"/>
      <c r="G42" s="87"/>
      <c r="H42" s="87"/>
      <c r="I42" s="87"/>
    </row>
    <row r="43" spans="1:9" ht="15.5" x14ac:dyDescent="0.35">
      <c r="A43" s="87"/>
      <c r="B43" s="135"/>
      <c r="C43" s="87"/>
      <c r="D43" s="87" t="s">
        <v>267</v>
      </c>
      <c r="E43" s="87"/>
      <c r="F43" s="87"/>
      <c r="G43" s="87"/>
      <c r="H43" s="87"/>
      <c r="I43" s="87"/>
    </row>
    <row r="44" spans="1:9" ht="15.5" x14ac:dyDescent="0.35">
      <c r="A44" s="87"/>
      <c r="B44" s="135"/>
      <c r="C44" s="87"/>
      <c r="D44" s="87" t="s">
        <v>268</v>
      </c>
      <c r="E44" s="87"/>
      <c r="F44" s="87"/>
      <c r="G44" s="87"/>
      <c r="H44" s="87"/>
      <c r="I44" s="87"/>
    </row>
    <row r="45" spans="1:9" ht="15.5" x14ac:dyDescent="0.35">
      <c r="A45" s="87"/>
      <c r="B45" s="135" t="s">
        <v>269</v>
      </c>
      <c r="C45" s="87"/>
      <c r="D45" s="87"/>
      <c r="E45" s="87"/>
      <c r="F45" s="87"/>
      <c r="G45" s="87"/>
      <c r="H45" s="87"/>
      <c r="I45" s="87"/>
    </row>
    <row r="46" spans="1:9" ht="15.5" x14ac:dyDescent="0.35">
      <c r="A46" s="87"/>
      <c r="B46" s="135"/>
      <c r="C46" s="87" t="s">
        <v>270</v>
      </c>
      <c r="D46" s="87"/>
      <c r="E46" s="87"/>
      <c r="F46" s="87"/>
      <c r="G46" s="87"/>
      <c r="H46" s="87"/>
      <c r="I46" s="87"/>
    </row>
    <row r="47" spans="1:9" ht="15.5" x14ac:dyDescent="0.35">
      <c r="A47" s="87"/>
      <c r="B47" s="135"/>
      <c r="C47" s="87"/>
      <c r="D47" s="87" t="s">
        <v>271</v>
      </c>
      <c r="E47" s="87"/>
      <c r="F47" s="87"/>
      <c r="G47" s="87"/>
      <c r="H47" s="87"/>
      <c r="I47" s="87"/>
    </row>
    <row r="48" spans="1:9" ht="15.5" x14ac:dyDescent="0.35">
      <c r="A48" s="87"/>
      <c r="B48" s="135"/>
      <c r="C48" s="87"/>
      <c r="D48" s="87" t="s">
        <v>272</v>
      </c>
      <c r="E48" s="87"/>
      <c r="F48" s="87"/>
      <c r="G48" s="87"/>
      <c r="H48" s="87"/>
      <c r="I48" s="87"/>
    </row>
    <row r="49" spans="1:9" ht="15.5" x14ac:dyDescent="0.35">
      <c r="A49" s="87"/>
      <c r="B49" s="135"/>
      <c r="C49" s="87"/>
      <c r="D49" s="87" t="s">
        <v>273</v>
      </c>
      <c r="E49" s="87"/>
      <c r="F49" s="87"/>
      <c r="G49" s="87"/>
      <c r="H49" s="87"/>
      <c r="I49" s="87"/>
    </row>
    <row r="50" spans="1:9" ht="15.5" x14ac:dyDescent="0.35">
      <c r="A50" s="87"/>
      <c r="B50" s="135"/>
      <c r="C50" s="87"/>
      <c r="D50" s="87" t="s">
        <v>274</v>
      </c>
      <c r="E50" s="87"/>
      <c r="F50" s="87"/>
      <c r="G50" s="87"/>
      <c r="H50" s="87"/>
      <c r="I50" s="87"/>
    </row>
    <row r="51" spans="1:9" ht="15.5" x14ac:dyDescent="0.35">
      <c r="A51" s="87"/>
      <c r="B51" s="135"/>
      <c r="C51" s="87"/>
      <c r="D51" s="87" t="s">
        <v>275</v>
      </c>
      <c r="E51" s="87"/>
      <c r="F51" s="87"/>
      <c r="G51" s="87"/>
      <c r="H51" s="87"/>
      <c r="I51" s="87"/>
    </row>
    <row r="52" spans="1:9" ht="15.5" x14ac:dyDescent="0.35">
      <c r="A52" s="87"/>
      <c r="B52" s="135"/>
      <c r="C52" s="87"/>
      <c r="D52" s="87" t="s">
        <v>276</v>
      </c>
      <c r="E52" s="87"/>
      <c r="F52" s="87"/>
      <c r="G52" s="87"/>
      <c r="H52" s="87"/>
      <c r="I52" s="87"/>
    </row>
    <row r="53" spans="1:9" ht="15.5" x14ac:dyDescent="0.35">
      <c r="A53" s="87"/>
      <c r="B53" s="135"/>
      <c r="C53" s="87"/>
      <c r="D53" s="87" t="s">
        <v>277</v>
      </c>
      <c r="E53" s="87"/>
      <c r="F53" s="87"/>
      <c r="G53" s="87"/>
      <c r="H53" s="87"/>
      <c r="I53" s="87"/>
    </row>
    <row r="54" spans="1:9" ht="15.5" x14ac:dyDescent="0.35">
      <c r="A54" s="87"/>
      <c r="B54" s="135"/>
      <c r="C54" s="87" t="s">
        <v>278</v>
      </c>
      <c r="D54" s="87"/>
      <c r="E54" s="87"/>
      <c r="F54" s="87"/>
      <c r="G54" s="87"/>
      <c r="H54" s="87"/>
      <c r="I54" s="87"/>
    </row>
    <row r="55" spans="1:9" ht="15.5" x14ac:dyDescent="0.35">
      <c r="A55" s="87"/>
      <c r="B55" s="135"/>
      <c r="C55" s="87"/>
      <c r="D55" s="87" t="s">
        <v>279</v>
      </c>
      <c r="E55" s="87"/>
      <c r="F55" s="87"/>
      <c r="G55" s="87"/>
      <c r="H55" s="87"/>
      <c r="I55" s="87"/>
    </row>
    <row r="56" spans="1:9" ht="15.5" x14ac:dyDescent="0.35">
      <c r="A56" s="87"/>
      <c r="B56" s="135"/>
      <c r="C56" s="87"/>
      <c r="D56" s="87" t="s">
        <v>280</v>
      </c>
      <c r="E56" s="87"/>
      <c r="F56" s="87"/>
      <c r="G56" s="87"/>
      <c r="H56" s="87"/>
      <c r="I56" s="87"/>
    </row>
    <row r="57" spans="1:9" ht="15.5" x14ac:dyDescent="0.35">
      <c r="A57" s="87"/>
      <c r="B57" s="135"/>
      <c r="C57" s="87"/>
      <c r="D57" s="87"/>
      <c r="E57" s="87" t="s">
        <v>281</v>
      </c>
      <c r="F57" s="87"/>
      <c r="G57" s="87"/>
      <c r="H57" s="87"/>
      <c r="I57" s="87"/>
    </row>
    <row r="58" spans="1:9" ht="15.5" x14ac:dyDescent="0.35">
      <c r="A58" s="87"/>
      <c r="B58" s="135"/>
      <c r="C58" s="87"/>
      <c r="D58" s="87"/>
      <c r="E58" s="87" t="s">
        <v>282</v>
      </c>
      <c r="F58" s="87"/>
      <c r="G58" s="87"/>
      <c r="H58" s="87"/>
      <c r="I58" s="87"/>
    </row>
    <row r="59" spans="1:9" ht="15.5" x14ac:dyDescent="0.35">
      <c r="A59" s="87"/>
      <c r="B59" s="135"/>
      <c r="C59" s="87"/>
      <c r="D59" s="87"/>
      <c r="E59" s="87" t="s">
        <v>283</v>
      </c>
      <c r="F59" s="87"/>
      <c r="G59" s="87"/>
      <c r="H59" s="87"/>
      <c r="I59" s="87"/>
    </row>
    <row r="60" spans="1:9" ht="15.5" x14ac:dyDescent="0.35">
      <c r="A60" s="87"/>
      <c r="B60" s="135"/>
      <c r="C60" s="87"/>
      <c r="D60" s="87" t="s">
        <v>284</v>
      </c>
      <c r="E60" s="87"/>
      <c r="F60" s="87"/>
      <c r="G60" s="87"/>
      <c r="H60" s="87"/>
      <c r="I60" s="87"/>
    </row>
    <row r="61" spans="1:9" ht="15.5" x14ac:dyDescent="0.35">
      <c r="A61" s="87"/>
      <c r="B61" s="135"/>
      <c r="C61" s="87"/>
      <c r="D61" s="87"/>
      <c r="E61" s="87" t="s">
        <v>285</v>
      </c>
      <c r="F61" s="87"/>
      <c r="G61" s="87"/>
      <c r="H61" s="87"/>
      <c r="I61" s="87"/>
    </row>
    <row r="62" spans="1:9" ht="15.5" x14ac:dyDescent="0.35">
      <c r="A62" s="87"/>
      <c r="B62" s="135"/>
      <c r="C62" s="87"/>
      <c r="D62" s="87"/>
      <c r="E62" s="87" t="s">
        <v>286</v>
      </c>
      <c r="F62" s="87"/>
      <c r="G62" s="87"/>
      <c r="H62" s="87"/>
      <c r="I62" s="87"/>
    </row>
    <row r="63" spans="1:9" ht="15.5" x14ac:dyDescent="0.35">
      <c r="A63" s="87"/>
      <c r="B63" s="135"/>
      <c r="C63" s="87"/>
      <c r="D63" s="87"/>
      <c r="E63" s="87" t="s">
        <v>287</v>
      </c>
      <c r="F63" s="87"/>
      <c r="G63" s="87"/>
      <c r="H63" s="87"/>
      <c r="I63" s="87"/>
    </row>
    <row r="64" spans="1:9" ht="15.5" x14ac:dyDescent="0.35">
      <c r="A64" s="87"/>
      <c r="B64" s="135"/>
      <c r="C64" s="87"/>
      <c r="D64" s="87"/>
      <c r="E64" s="87" t="s">
        <v>288</v>
      </c>
      <c r="F64" s="87"/>
      <c r="G64" s="87"/>
      <c r="H64" s="87"/>
      <c r="I64" s="87"/>
    </row>
    <row r="65" spans="1:9" ht="15.5" x14ac:dyDescent="0.35">
      <c r="A65" s="87"/>
      <c r="B65" s="135"/>
      <c r="C65" s="87"/>
      <c r="D65" s="87" t="s">
        <v>289</v>
      </c>
      <c r="E65" s="87"/>
      <c r="F65" s="87"/>
      <c r="G65" s="87"/>
      <c r="H65" s="87"/>
      <c r="I65" s="87"/>
    </row>
    <row r="66" spans="1:9" ht="15.5" x14ac:dyDescent="0.35">
      <c r="A66" s="87"/>
      <c r="B66" s="135"/>
      <c r="C66" s="87"/>
      <c r="D66" s="87"/>
      <c r="E66" s="87" t="s">
        <v>290</v>
      </c>
      <c r="F66" s="87"/>
      <c r="G66" s="87"/>
      <c r="H66" s="87"/>
      <c r="I66" s="87"/>
    </row>
    <row r="67" spans="1:9" ht="15.5" x14ac:dyDescent="0.35">
      <c r="A67" s="87"/>
      <c r="B67" s="135"/>
      <c r="C67" s="87"/>
      <c r="D67" s="87"/>
      <c r="E67" s="87" t="s">
        <v>291</v>
      </c>
      <c r="F67" s="87"/>
      <c r="G67" s="87"/>
      <c r="H67" s="87"/>
      <c r="I67" s="87"/>
    </row>
    <row r="68" spans="1:9" ht="15.5" x14ac:dyDescent="0.35">
      <c r="A68" s="87"/>
      <c r="B68" s="135"/>
      <c r="C68" s="87"/>
      <c r="D68" s="87"/>
      <c r="E68" s="87" t="s">
        <v>292</v>
      </c>
      <c r="F68" s="87"/>
      <c r="G68" s="87"/>
      <c r="H68" s="87"/>
      <c r="I68" s="87"/>
    </row>
    <row r="69" spans="1:9" ht="15.5" x14ac:dyDescent="0.35">
      <c r="A69" s="87"/>
      <c r="B69" s="135"/>
      <c r="C69" s="87"/>
      <c r="D69" s="87"/>
      <c r="E69" s="87" t="s">
        <v>293</v>
      </c>
      <c r="F69" s="87"/>
      <c r="G69" s="87"/>
      <c r="H69" s="87"/>
      <c r="I69" s="87"/>
    </row>
    <row r="70" spans="1:9" ht="15.5" x14ac:dyDescent="0.35">
      <c r="A70" s="87"/>
      <c r="B70" s="135"/>
      <c r="C70" s="87"/>
      <c r="D70" s="87" t="s">
        <v>294</v>
      </c>
      <c r="E70" s="87"/>
      <c r="F70" s="87"/>
      <c r="G70" s="87"/>
      <c r="H70" s="87"/>
      <c r="I70" s="87"/>
    </row>
    <row r="71" spans="1:9" ht="15.5" x14ac:dyDescent="0.35">
      <c r="A71" s="87"/>
      <c r="B71" s="135"/>
      <c r="C71" s="87"/>
      <c r="D71" s="87" t="s">
        <v>295</v>
      </c>
      <c r="E71" s="87"/>
      <c r="F71" s="87"/>
      <c r="G71" s="87"/>
      <c r="H71" s="87"/>
      <c r="I71" s="87"/>
    </row>
    <row r="72" spans="1:9" ht="15.5" x14ac:dyDescent="0.35">
      <c r="A72" s="87"/>
      <c r="B72" s="135"/>
      <c r="C72" s="87"/>
      <c r="D72" s="87" t="s">
        <v>296</v>
      </c>
      <c r="E72" s="87"/>
      <c r="F72" s="87"/>
      <c r="G72" s="87"/>
      <c r="H72" s="87"/>
      <c r="I72" s="87"/>
    </row>
    <row r="73" spans="1:9" ht="15.5" x14ac:dyDescent="0.35">
      <c r="A73" s="87"/>
      <c r="B73" s="135"/>
      <c r="C73" s="87"/>
      <c r="D73" s="87" t="s">
        <v>297</v>
      </c>
      <c r="E73" s="87"/>
      <c r="F73" s="87"/>
      <c r="G73" s="87"/>
      <c r="H73" s="87"/>
      <c r="I73" s="87"/>
    </row>
    <row r="74" spans="1:9" ht="15.5" x14ac:dyDescent="0.35">
      <c r="A74" s="87"/>
      <c r="B74" s="135" t="s">
        <v>298</v>
      </c>
      <c r="C74" s="87"/>
      <c r="D74" s="87"/>
      <c r="E74" s="87"/>
      <c r="F74" s="87"/>
      <c r="G74" s="87"/>
      <c r="H74" s="87"/>
      <c r="I74" s="87"/>
    </row>
    <row r="75" spans="1:9" ht="15.5" x14ac:dyDescent="0.35">
      <c r="A75" s="87"/>
      <c r="B75" s="135"/>
      <c r="C75" s="87" t="s">
        <v>299</v>
      </c>
      <c r="D75" s="87"/>
      <c r="E75" s="87"/>
      <c r="F75" s="87"/>
      <c r="G75" s="87"/>
      <c r="H75" s="87"/>
      <c r="I75" s="87"/>
    </row>
    <row r="76" spans="1:9" ht="15.5" x14ac:dyDescent="0.35">
      <c r="A76" s="87"/>
      <c r="B76" s="135"/>
      <c r="C76" s="87"/>
      <c r="D76" s="87" t="s">
        <v>300</v>
      </c>
      <c r="E76" s="87"/>
      <c r="F76" s="87"/>
      <c r="G76" s="87"/>
      <c r="H76" s="87"/>
      <c r="I76" s="87"/>
    </row>
    <row r="77" spans="1:9" ht="15.5" x14ac:dyDescent="0.35">
      <c r="A77" s="87"/>
      <c r="B77" s="135"/>
      <c r="C77" s="87"/>
      <c r="D77" s="87" t="s">
        <v>301</v>
      </c>
      <c r="E77" s="87"/>
      <c r="F77" s="87"/>
      <c r="G77" s="87"/>
      <c r="H77" s="87"/>
      <c r="I77" s="87"/>
    </row>
    <row r="78" spans="1:9" ht="15.5" x14ac:dyDescent="0.35">
      <c r="A78" s="87"/>
      <c r="B78" s="135"/>
      <c r="C78" s="87"/>
      <c r="D78" s="87" t="s">
        <v>302</v>
      </c>
      <c r="E78" s="87"/>
      <c r="F78" s="87"/>
      <c r="G78" s="87"/>
      <c r="H78" s="87"/>
      <c r="I78" s="87"/>
    </row>
    <row r="79" spans="1:9" ht="15.5" x14ac:dyDescent="0.35">
      <c r="A79" s="87"/>
      <c r="B79" s="135"/>
      <c r="C79" s="87"/>
      <c r="D79" s="87" t="s">
        <v>303</v>
      </c>
      <c r="E79" s="87"/>
      <c r="F79" s="87"/>
      <c r="G79" s="87"/>
      <c r="H79" s="87"/>
      <c r="I79" s="87"/>
    </row>
    <row r="80" spans="1:9" ht="15.5" x14ac:dyDescent="0.35">
      <c r="A80" s="87"/>
      <c r="B80" s="135" t="s">
        <v>304</v>
      </c>
      <c r="C80" s="87"/>
      <c r="D80" s="87"/>
      <c r="E80" s="87"/>
      <c r="F80" s="87"/>
      <c r="G80" s="87"/>
      <c r="H80" s="87"/>
      <c r="I80" s="87"/>
    </row>
    <row r="81" spans="1:9" ht="15.5" x14ac:dyDescent="0.35">
      <c r="A81" s="87"/>
      <c r="B81" s="135"/>
      <c r="C81" s="87" t="s">
        <v>305</v>
      </c>
      <c r="D81" s="87"/>
      <c r="E81" s="87"/>
      <c r="F81" s="87"/>
      <c r="G81" s="87"/>
      <c r="H81" s="87"/>
      <c r="I81" s="87"/>
    </row>
    <row r="82" spans="1:9" ht="15.5" x14ac:dyDescent="0.35">
      <c r="A82" s="87"/>
      <c r="B82" s="135"/>
      <c r="C82" s="87" t="s">
        <v>306</v>
      </c>
      <c r="D82" s="87"/>
      <c r="E82" s="87"/>
      <c r="F82" s="87"/>
      <c r="G82" s="87"/>
      <c r="H82" s="87"/>
      <c r="I82" s="87"/>
    </row>
    <row r="83" spans="1:9" ht="15.5" x14ac:dyDescent="0.35">
      <c r="A83" s="87"/>
      <c r="B83" s="135"/>
      <c r="C83" s="87" t="s">
        <v>307</v>
      </c>
      <c r="D83" s="87"/>
      <c r="E83" s="87"/>
      <c r="F83" s="87"/>
      <c r="G83" s="87"/>
      <c r="H83" s="87"/>
      <c r="I83" s="87"/>
    </row>
    <row r="84" spans="1:9" ht="15.5" x14ac:dyDescent="0.35">
      <c r="A84" s="87"/>
      <c r="B84" s="135"/>
      <c r="C84" s="87"/>
      <c r="D84" s="87" t="s">
        <v>308</v>
      </c>
      <c r="E84" s="87"/>
      <c r="F84" s="87"/>
      <c r="G84" s="87"/>
      <c r="H84" s="87"/>
      <c r="I84" s="87"/>
    </row>
    <row r="85" spans="1:9" ht="15.5" x14ac:dyDescent="0.35">
      <c r="A85" s="87"/>
      <c r="B85" s="135"/>
      <c r="C85" s="87"/>
      <c r="D85" s="87"/>
      <c r="E85" s="87" t="s">
        <v>309</v>
      </c>
      <c r="F85" s="87"/>
      <c r="G85" s="87"/>
      <c r="H85" s="87"/>
      <c r="I85" s="87"/>
    </row>
    <row r="86" spans="1:9" ht="15.5" x14ac:dyDescent="0.35">
      <c r="A86" s="87"/>
      <c r="B86" s="135"/>
      <c r="C86" s="87" t="s">
        <v>310</v>
      </c>
      <c r="D86" s="87"/>
      <c r="E86" s="87"/>
      <c r="F86" s="87"/>
      <c r="G86" s="87"/>
      <c r="H86" s="87"/>
      <c r="I86" s="87"/>
    </row>
    <row r="87" spans="1:9" ht="15.5" x14ac:dyDescent="0.35">
      <c r="A87" s="87"/>
      <c r="B87" s="135"/>
      <c r="C87" s="87"/>
      <c r="D87" s="87" t="s">
        <v>311</v>
      </c>
      <c r="E87" s="87"/>
      <c r="F87" s="87"/>
      <c r="G87" s="87"/>
      <c r="H87" s="87"/>
      <c r="I87" s="87"/>
    </row>
    <row r="88" spans="1:9" ht="15.5" x14ac:dyDescent="0.35">
      <c r="A88"/>
    </row>
    <row r="89" spans="1:9" ht="15.5" x14ac:dyDescent="0.35">
      <c r="A89"/>
    </row>
    <row r="90" spans="1:9" ht="15.5" x14ac:dyDescent="0.35">
      <c r="A90"/>
    </row>
    <row r="91" spans="1:9" ht="15.5" x14ac:dyDescent="0.35">
      <c r="A91"/>
    </row>
    <row r="92" spans="1:9" ht="15.5" x14ac:dyDescent="0.35">
      <c r="A92"/>
    </row>
    <row r="93" spans="1:9" ht="15.5" x14ac:dyDescent="0.35">
      <c r="A93"/>
    </row>
    <row r="94" spans="1:9" ht="15.5" x14ac:dyDescent="0.35">
      <c r="A94"/>
    </row>
    <row r="95" spans="1:9" ht="15.5" x14ac:dyDescent="0.35">
      <c r="A95"/>
    </row>
    <row r="96" spans="1:9" ht="15.5" x14ac:dyDescent="0.35">
      <c r="A96"/>
    </row>
    <row r="97" spans="1:1" ht="15.5" x14ac:dyDescent="0.35">
      <c r="A97"/>
    </row>
    <row r="98" spans="1:1" x14ac:dyDescent="0.3">
      <c r="A98" s="85"/>
    </row>
  </sheetData>
  <pageMargins left="0.75" right="0.75" top="1" bottom="1" header="0.5" footer="0.5"/>
  <pageSetup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202</vt:i4>
      </vt:variant>
    </vt:vector>
  </HeadingPairs>
  <TitlesOfParts>
    <vt:vector size="208" baseType="lpstr">
      <vt:lpstr>Executive Summary</vt:lpstr>
      <vt:lpstr>Summary</vt:lpstr>
      <vt:lpstr>BOM Details</vt:lpstr>
      <vt:lpstr>Environmental Summary</vt:lpstr>
      <vt:lpstr>Services Breakdown per Year</vt:lpstr>
      <vt:lpstr>Buyer Specific Scope</vt:lpstr>
      <vt:lpstr>gp_3801_access_hub_1</vt:lpstr>
      <vt:lpstr>gp_3801_access_hub_2</vt:lpstr>
      <vt:lpstr>gp_3801_access_hub_3</vt:lpstr>
      <vt:lpstr>gp_3801_core</vt:lpstr>
      <vt:lpstr>gp_3801_cpe</vt:lpstr>
      <vt:lpstr>gp_3801_spares</vt:lpstr>
      <vt:lpstr>gp_3801_total</vt:lpstr>
      <vt:lpstr>gp_3801_vbng</vt:lpstr>
      <vt:lpstr>gp_3802_access_hub_1</vt:lpstr>
      <vt:lpstr>gp_3802_access_hub_2</vt:lpstr>
      <vt:lpstr>gp_3802_access_hub_3</vt:lpstr>
      <vt:lpstr>gp_3802_core</vt:lpstr>
      <vt:lpstr>gp_3802_cpe</vt:lpstr>
      <vt:lpstr>gp_3802_spares</vt:lpstr>
      <vt:lpstr>gp_3802_total</vt:lpstr>
      <vt:lpstr>gp_3802_vbng</vt:lpstr>
      <vt:lpstr>gp_5164_access_hub_1</vt:lpstr>
      <vt:lpstr>gp_5164_access_hub_2</vt:lpstr>
      <vt:lpstr>gp_5164_access_hub_3</vt:lpstr>
      <vt:lpstr>gp_5164_core</vt:lpstr>
      <vt:lpstr>gp_5164_cpe</vt:lpstr>
      <vt:lpstr>gp_5164_spares</vt:lpstr>
      <vt:lpstr>gp_5164_total</vt:lpstr>
      <vt:lpstr>gp_5164_vbng</vt:lpstr>
      <vt:lpstr>gp_8110_access_hub_1</vt:lpstr>
      <vt:lpstr>gp_8110_access_hub_2</vt:lpstr>
      <vt:lpstr>gp_8110_access_hub_3</vt:lpstr>
      <vt:lpstr>gp_8110_core</vt:lpstr>
      <vt:lpstr>gp_8110_cpe</vt:lpstr>
      <vt:lpstr>gp_8110_spares</vt:lpstr>
      <vt:lpstr>gp_8110_total</vt:lpstr>
      <vt:lpstr>gp_8110_vbng</vt:lpstr>
      <vt:lpstr>gp_access_hub_1</vt:lpstr>
      <vt:lpstr>gp_access_hub_2</vt:lpstr>
      <vt:lpstr>gp_access_hub_3</vt:lpstr>
      <vt:lpstr>gp_core</vt:lpstr>
      <vt:lpstr>gp_cpe</vt:lpstr>
      <vt:lpstr>gp_design_audit___oper_svc_poc_network_totals</vt:lpstr>
      <vt:lpstr>gp_hwtotals</vt:lpstr>
      <vt:lpstr>gp_maintain_services_network_totals</vt:lpstr>
      <vt:lpstr>gp_mcp_access_hub_1</vt:lpstr>
      <vt:lpstr>gp_mcp_access_hub_2</vt:lpstr>
      <vt:lpstr>gp_mcp_access_hub_3</vt:lpstr>
      <vt:lpstr>gp_mcp_core</vt:lpstr>
      <vt:lpstr>gp_mcp_cpe</vt:lpstr>
      <vt:lpstr>gp_mcp_spares</vt:lpstr>
      <vt:lpstr>gp_mcp_total</vt:lpstr>
      <vt:lpstr>gp_mcp_vbng</vt:lpstr>
      <vt:lpstr>gp_pcrtotals</vt:lpstr>
      <vt:lpstr>gp_sd_edge_ops_manager_access_hub_1</vt:lpstr>
      <vt:lpstr>gp_sd_edge_ops_manager_access_hub_2</vt:lpstr>
      <vt:lpstr>gp_sd_edge_ops_manager_access_hub_3</vt:lpstr>
      <vt:lpstr>gp_sd_edge_ops_manager_core</vt:lpstr>
      <vt:lpstr>gp_sd_edge_ops_manager_cpe</vt:lpstr>
      <vt:lpstr>gp_sd_edge_ops_manager_spares</vt:lpstr>
      <vt:lpstr>gp_sd_edge_ops_manager_total</vt:lpstr>
      <vt:lpstr>gp_sd_edge_ops_manager_vbng</vt:lpstr>
      <vt:lpstr>gp_sd_edge_vbng_access_hub_1</vt:lpstr>
      <vt:lpstr>gp_sd_edge_vbng_access_hub_2</vt:lpstr>
      <vt:lpstr>gp_sd_edge_vbng_access_hub_3</vt:lpstr>
      <vt:lpstr>gp_sd_edge_vbng_core</vt:lpstr>
      <vt:lpstr>gp_sd_edge_vbng_cpe</vt:lpstr>
      <vt:lpstr>gp_sd_edge_vbng_spares</vt:lpstr>
      <vt:lpstr>gp_sd_edge_vbng_total</vt:lpstr>
      <vt:lpstr>gp_sd_edge_vbng_vbng</vt:lpstr>
      <vt:lpstr>gp_site_access_hub_1_total</vt:lpstr>
      <vt:lpstr>gp_site_access_hub_2_total</vt:lpstr>
      <vt:lpstr>gp_site_access_hub_3_total</vt:lpstr>
      <vt:lpstr>gp_site_core_total</vt:lpstr>
      <vt:lpstr>gp_site_cpe_total</vt:lpstr>
      <vt:lpstr>gp_site_spares_total</vt:lpstr>
      <vt:lpstr>gp_site_vbng_total</vt:lpstr>
      <vt:lpstr>gp_spares</vt:lpstr>
      <vt:lpstr>gp_subtotal_network</vt:lpstr>
      <vt:lpstr>gp_sv_design_audit___oper_svc_poc_access_hub_1</vt:lpstr>
      <vt:lpstr>gp_sv_design_audit___oper_svc_poc_access_hub_2</vt:lpstr>
      <vt:lpstr>gp_sv_design_audit___oper_svc_poc_access_hub_3</vt:lpstr>
      <vt:lpstr>gp_sv_design_audit___oper_svc_poc_core</vt:lpstr>
      <vt:lpstr>gp_sv_design_audit___oper_svc_poc_cpe</vt:lpstr>
      <vt:lpstr>gp_sv_design_audit___oper_svc_poc_spares</vt:lpstr>
      <vt:lpstr>gp_sv_design_audit___oper_svc_poc_total</vt:lpstr>
      <vt:lpstr>gp_sv_design_audit___oper_svc_poc_vbng</vt:lpstr>
      <vt:lpstr>gp_sv_maintain_services_access_hub_1</vt:lpstr>
      <vt:lpstr>gp_sv_maintain_services_access_hub_2</vt:lpstr>
      <vt:lpstr>gp_sv_maintain_services_access_hub_3</vt:lpstr>
      <vt:lpstr>gp_sv_maintain_services_core</vt:lpstr>
      <vt:lpstr>gp_sv_maintain_services_cpe</vt:lpstr>
      <vt:lpstr>gp_sv_maintain_services_spares</vt:lpstr>
      <vt:lpstr>gp_sv_maintain_services_total</vt:lpstr>
      <vt:lpstr>gp_sv_maintain_services_vbng</vt:lpstr>
      <vt:lpstr>gp_svtotals</vt:lpstr>
      <vt:lpstr>gp_vbng</vt:lpstr>
      <vt:lpstr>n_3801_access_hub_1</vt:lpstr>
      <vt:lpstr>n_3801_access_hub_2</vt:lpstr>
      <vt:lpstr>n_3801_access_hub_3</vt:lpstr>
      <vt:lpstr>n_3801_core</vt:lpstr>
      <vt:lpstr>n_3801_cpe</vt:lpstr>
      <vt:lpstr>n_3801_spares</vt:lpstr>
      <vt:lpstr>n_3801_vbng</vt:lpstr>
      <vt:lpstr>n_3802_access_hub_1</vt:lpstr>
      <vt:lpstr>n_3802_access_hub_2</vt:lpstr>
      <vt:lpstr>n_3802_access_hub_3</vt:lpstr>
      <vt:lpstr>n_3802_core</vt:lpstr>
      <vt:lpstr>n_3802_cpe</vt:lpstr>
      <vt:lpstr>n_3802_spares</vt:lpstr>
      <vt:lpstr>n_3802_vbng</vt:lpstr>
      <vt:lpstr>n_5164_access_hub_1</vt:lpstr>
      <vt:lpstr>n_5164_access_hub_2</vt:lpstr>
      <vt:lpstr>n_5164_access_hub_3</vt:lpstr>
      <vt:lpstr>n_5164_core</vt:lpstr>
      <vt:lpstr>n_5164_cpe</vt:lpstr>
      <vt:lpstr>n_5164_spares</vt:lpstr>
      <vt:lpstr>n_5164_vbng</vt:lpstr>
      <vt:lpstr>n_8110_access_hub_1</vt:lpstr>
      <vt:lpstr>n_8110_access_hub_2</vt:lpstr>
      <vt:lpstr>n_8110_access_hub_3</vt:lpstr>
      <vt:lpstr>n_8110_core</vt:lpstr>
      <vt:lpstr>n_8110_cpe</vt:lpstr>
      <vt:lpstr>n_8110_spares</vt:lpstr>
      <vt:lpstr>n_8110_vbng</vt:lpstr>
      <vt:lpstr>n_design_audit___oper_svc_poc_subtotal_network</vt:lpstr>
      <vt:lpstr>n_hw_site_access_hub_1_total</vt:lpstr>
      <vt:lpstr>n_hw_site_access_hub_2_total</vt:lpstr>
      <vt:lpstr>n_hw_site_access_hub_3_total</vt:lpstr>
      <vt:lpstr>n_hw_site_core_total</vt:lpstr>
      <vt:lpstr>n_hw_site_cpe_total</vt:lpstr>
      <vt:lpstr>n_hw_site_spares_total</vt:lpstr>
      <vt:lpstr>n_hw_site_vbng_total</vt:lpstr>
      <vt:lpstr>n_maintain_services_subtotal_network</vt:lpstr>
      <vt:lpstr>n_mcp_access_hub_1</vt:lpstr>
      <vt:lpstr>n_mcp_access_hub_2</vt:lpstr>
      <vt:lpstr>n_mcp_access_hub_3</vt:lpstr>
      <vt:lpstr>n_mcp_core</vt:lpstr>
      <vt:lpstr>n_mcp_cpe</vt:lpstr>
      <vt:lpstr>n_mcp_spares</vt:lpstr>
      <vt:lpstr>n_mcp_vbng</vt:lpstr>
      <vt:lpstr>n_sd_edge_ops_manager_access_hub_1</vt:lpstr>
      <vt:lpstr>n_sd_edge_ops_manager_access_hub_2</vt:lpstr>
      <vt:lpstr>n_sd_edge_ops_manager_access_hub_3</vt:lpstr>
      <vt:lpstr>n_sd_edge_ops_manager_core</vt:lpstr>
      <vt:lpstr>n_sd_edge_ops_manager_cpe</vt:lpstr>
      <vt:lpstr>n_sd_edge_ops_manager_spares</vt:lpstr>
      <vt:lpstr>n_sd_edge_ops_manager_vbng</vt:lpstr>
      <vt:lpstr>n_sd_edge_vbng_access_hub_1</vt:lpstr>
      <vt:lpstr>n_sd_edge_vbng_access_hub_2</vt:lpstr>
      <vt:lpstr>n_sd_edge_vbng_access_hub_3</vt:lpstr>
      <vt:lpstr>n_sd_edge_vbng_core</vt:lpstr>
      <vt:lpstr>n_sd_edge_vbng_cpe</vt:lpstr>
      <vt:lpstr>n_sd_edge_vbng_spares</vt:lpstr>
      <vt:lpstr>n_sd_edge_vbng_vbng</vt:lpstr>
      <vt:lpstr>n_summary_design_audit___oper_svc_poc_network</vt:lpstr>
      <vt:lpstr>n_summary_design_audit___oper_svc_poc_network_wed</vt:lpstr>
      <vt:lpstr>n_summary_maintain_services_network</vt:lpstr>
      <vt:lpstr>n_summary_maintain_services_network_wed</vt:lpstr>
      <vt:lpstr>n_summary_products_access_hub_1</vt:lpstr>
      <vt:lpstr>n_summary_products_access_hub_1_wed</vt:lpstr>
      <vt:lpstr>n_summary_products_access_hub_2</vt:lpstr>
      <vt:lpstr>n_summary_products_access_hub_2_wed</vt:lpstr>
      <vt:lpstr>n_summary_products_access_hub_3</vt:lpstr>
      <vt:lpstr>n_summary_products_access_hub_3_wed</vt:lpstr>
      <vt:lpstr>n_summary_products_core</vt:lpstr>
      <vt:lpstr>n_summary_products_core_wed</vt:lpstr>
      <vt:lpstr>n_summary_products_cpe</vt:lpstr>
      <vt:lpstr>n_summary_products_cpe_wed</vt:lpstr>
      <vt:lpstr>n_summary_products_spares</vt:lpstr>
      <vt:lpstr>n_summary_products_spares_wed</vt:lpstr>
      <vt:lpstr>n_summary_products_vbng</vt:lpstr>
      <vt:lpstr>n_summary_products_vbng_wed</vt:lpstr>
      <vt:lpstr>n_sv_design_audit___oper_svc_poc_access_hub_1</vt:lpstr>
      <vt:lpstr>n_sv_design_audit___oper_svc_poc_access_hub_2</vt:lpstr>
      <vt:lpstr>n_sv_design_audit___oper_svc_poc_access_hub_3</vt:lpstr>
      <vt:lpstr>n_sv_design_audit___oper_svc_poc_core</vt:lpstr>
      <vt:lpstr>n_sv_design_audit___oper_svc_poc_cpe</vt:lpstr>
      <vt:lpstr>n_sv_design_audit___oper_svc_poc_spares</vt:lpstr>
      <vt:lpstr>n_sv_design_audit___oper_svc_poc_vbng</vt:lpstr>
      <vt:lpstr>n_sv_maintain_services_access_hub_1</vt:lpstr>
      <vt:lpstr>n_sv_maintain_services_access_hub_2</vt:lpstr>
      <vt:lpstr>n_sv_maintain_services_access_hub_3</vt:lpstr>
      <vt:lpstr>n_sv_maintain_services_core</vt:lpstr>
      <vt:lpstr>n_sv_maintain_services_cpe</vt:lpstr>
      <vt:lpstr>n_sv_maintain_services_spares</vt:lpstr>
      <vt:lpstr>n_sv_maintain_services_vbng</vt:lpstr>
      <vt:lpstr>n_sv_site_access_hub_1_total</vt:lpstr>
      <vt:lpstr>n_sv_site_access_hub_2_total</vt:lpstr>
      <vt:lpstr>n_sv_site_access_hub_3_total</vt:lpstr>
      <vt:lpstr>n_sv_site_core_total</vt:lpstr>
      <vt:lpstr>n_sv_site_cpe_total</vt:lpstr>
      <vt:lpstr>n_sv_site_spares_total</vt:lpstr>
      <vt:lpstr>n_sv_site_vbng_total</vt:lpstr>
      <vt:lpstr>n_total_design_audit___oper_svc_poc</vt:lpstr>
      <vt:lpstr>n_total_maintain_services</vt:lpstr>
      <vt:lpstr>'BOM Details'!Print_Area</vt:lpstr>
      <vt:lpstr>'Buyer Specific Scope'!Print_Area</vt:lpstr>
      <vt:lpstr>'Environmental Summary'!Print_Area</vt:lpstr>
      <vt:lpstr>'Services Breakdown per Year'!Print_Area</vt:lpstr>
      <vt:lpstr>thiscell</vt:lpstr>
      <vt:lpstr>thiscellx</vt:lpstr>
      <vt:lpstr>total</vt:lpstr>
      <vt:lpstr>total_network</vt:lpstr>
      <vt:lpstr>total_services_breakdown</vt:lpstr>
      <vt:lpstr>totalhw</vt:lpstr>
      <vt:lpstr>totalsv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Marshall, Frederick</dc:creator>
  <cp:lastModifiedBy>Post, Jenny</cp:lastModifiedBy>
  <cp:lastPrinted>2023-10-03T22:33:14Z</cp:lastPrinted>
  <dcterms:created xsi:type="dcterms:W3CDTF">2023-03-09T15:41:43Z</dcterms:created>
  <dcterms:modified xsi:type="dcterms:W3CDTF">2023-10-03T22:33:14Z</dcterms:modified>
</cp:coreProperties>
</file>